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filterPrivacy="1" defaultThemeVersion="124226"/>
  <xr:revisionPtr revIDLastSave="0" documentId="13_ncr:1_{17C9A05A-79E7-4EA2-8F60-F60116B1A198}" xr6:coauthVersionLast="47" xr6:coauthVersionMax="47" xr10:uidLastSave="{00000000-0000-0000-0000-000000000000}"/>
  <bookViews>
    <workbookView xWindow="-108" yWindow="-108" windowWidth="23256" windowHeight="12456" tabRatio="867" activeTab="4" xr2:uid="{00000000-000D-0000-FFFF-FFFF00000000}"/>
  </bookViews>
  <sheets>
    <sheet name="RESUMO SEM DESON" sheetId="47" r:id="rId1"/>
    <sheet name="ORÇAMENTO SEM DESON" sheetId="45" r:id="rId2"/>
    <sheet name="COMPOSICOES SEM DESON" sheetId="50" r:id="rId3"/>
    <sheet name="CRONOGRAMA SEM DESON" sheetId="31" r:id="rId4"/>
    <sheet name="COMP_BDI_EDIFICACOES_20,84%_SEM" sheetId="37" r:id="rId5"/>
    <sheet name="MEMORIA DE CALCULO" sheetId="44" r:id="rId6"/>
    <sheet name="COTAÇÕES" sheetId="51" r:id="rId7"/>
  </sheets>
  <externalReferences>
    <externalReference r:id="rId8"/>
    <externalReference r:id="rId9"/>
    <externalReference r:id="rId10"/>
  </externalReferences>
  <definedNames>
    <definedName name="_xlnm._FilterDatabase" localSheetId="2" hidden="1">'COMPOSICOES SEM DESON'!$A$9:$G$9</definedName>
    <definedName name="_xlnm._FilterDatabase" localSheetId="6" hidden="1">COTAÇÕES!$A$8:$F$19</definedName>
    <definedName name="_xlnm._FilterDatabase" localSheetId="1" hidden="1">'ORÇAMENTO SEM DESON'!$A$8:$I$61</definedName>
    <definedName name="_xlnm._FilterDatabase" localSheetId="0" hidden="1">'RESUMO SEM DESON'!$A$8:$C$34</definedName>
    <definedName name="ADITIVO" localSheetId="2">#REF!</definedName>
    <definedName name="ADITIVO">#REF!</definedName>
    <definedName name="AF">#REF!</definedName>
    <definedName name="AFF">#REF!</definedName>
    <definedName name="AFFF">#REF!</definedName>
    <definedName name="AFFFF">#REF!</definedName>
    <definedName name="AFFFFFF">#REF!</definedName>
    <definedName name="AFFFFFFF">#REF!</definedName>
    <definedName name="AFFFFFFFF">#REF!</definedName>
    <definedName name="AFFFFFFFFFFF">#REF!</definedName>
    <definedName name="AFFFFFFFFFFFFF">#REF!</definedName>
    <definedName name="AFFFFFFFFFFFFFFF">#REF!</definedName>
    <definedName name="_xlnm.Print_Area" localSheetId="4">'COMP_BDI_EDIFICACOES_20,84%_SEM'!$B$2:$D$44</definedName>
    <definedName name="_xlnm.Print_Area" localSheetId="2">'COMPOSICOES SEM DESON'!$A$1:$G$92</definedName>
    <definedName name="_xlnm.Print_Area" localSheetId="6">COTAÇÕES!$A$1:$F$41</definedName>
    <definedName name="_xlnm.Print_Area" localSheetId="3">'CRONOGRAMA SEM DESON'!$A$1:$O$39</definedName>
    <definedName name="_xlnm.Print_Area" localSheetId="5">'MEMORIA DE CALCULO'!$A$1:$J$321</definedName>
    <definedName name="_xlnm.Print_Area" localSheetId="1">'ORÇAMENTO SEM DESON'!$A$1:$I$61</definedName>
    <definedName name="_xlnm.Print_Area" localSheetId="0">'RESUMO SEM DESON'!$A$1:$D$33</definedName>
    <definedName name="AreaTeste" localSheetId="4">#REF!</definedName>
    <definedName name="AreaTeste" localSheetId="2">#REF!</definedName>
    <definedName name="AreaTeste" localSheetId="6">#REF!</definedName>
    <definedName name="AreaTeste" localSheetId="5">#REF!</definedName>
    <definedName name="AreaTeste" localSheetId="1">#REF!</definedName>
    <definedName name="AreaTeste" localSheetId="0">#REF!</definedName>
    <definedName name="AreaTeste">#REF!</definedName>
    <definedName name="AreaTeste2" localSheetId="4">#REF!</definedName>
    <definedName name="AreaTeste2" localSheetId="2">#REF!</definedName>
    <definedName name="AreaTeste2" localSheetId="6">#REF!</definedName>
    <definedName name="AreaTeste2" localSheetId="5">#REF!</definedName>
    <definedName name="AreaTeste2" localSheetId="1">#REF!</definedName>
    <definedName name="AreaTeste2" localSheetId="0">#REF!</definedName>
    <definedName name="AreaTeste2">#REF!</definedName>
    <definedName name="CélulaInicioPlanilha" localSheetId="4">#REF!</definedName>
    <definedName name="CélulaInicioPlanilha" localSheetId="2">#REF!</definedName>
    <definedName name="CélulaInicioPlanilha" localSheetId="6">#REF!</definedName>
    <definedName name="CélulaInicioPlanilha" localSheetId="5">#REF!</definedName>
    <definedName name="CélulaInicioPlanilha" localSheetId="1">#REF!</definedName>
    <definedName name="CélulaInicioPlanilha" localSheetId="0">#REF!</definedName>
    <definedName name="CélulaInicioPlanilha">#REF!</definedName>
    <definedName name="CélulaResumo" localSheetId="4">#REF!</definedName>
    <definedName name="CélulaResumo" localSheetId="2">#REF!</definedName>
    <definedName name="CélulaResumo" localSheetId="6">#REF!</definedName>
    <definedName name="CélulaResumo" localSheetId="5">#REF!</definedName>
    <definedName name="CélulaResumo" localSheetId="1">#REF!</definedName>
    <definedName name="CélulaResumo" localSheetId="0">#REF!</definedName>
    <definedName name="CélulaResumo">#REF!</definedName>
    <definedName name="fdfd" localSheetId="4">#REF!</definedName>
    <definedName name="fdfd" localSheetId="2">#REF!</definedName>
    <definedName name="fdfd" localSheetId="6">#REF!</definedName>
    <definedName name="fdfd" localSheetId="5">#REF!</definedName>
    <definedName name="fdfd" localSheetId="1">#REF!</definedName>
    <definedName name="fdfd" localSheetId="0">#REF!</definedName>
    <definedName name="fdfd">#REF!</definedName>
    <definedName name="FFF">#REF!</definedName>
    <definedName name="GGGG">#REF!</definedName>
    <definedName name="HHHHH">#REF!</definedName>
    <definedName name="jfhdskjg" localSheetId="4">#REF!</definedName>
    <definedName name="jfhdskjg" localSheetId="2">#REF!</definedName>
    <definedName name="jfhdskjg" localSheetId="6">#REF!</definedName>
    <definedName name="jfhdskjg" localSheetId="5">#REF!</definedName>
    <definedName name="jfhdskjg" localSheetId="1">#REF!</definedName>
    <definedName name="jfhdskjg" localSheetId="0">#REF!</definedName>
    <definedName name="jfhdskjg">#REF!</definedName>
    <definedName name="orçamento" localSheetId="4">#REF!</definedName>
    <definedName name="orçamento" localSheetId="2">#REF!</definedName>
    <definedName name="orçamento" localSheetId="6">#REF!</definedName>
    <definedName name="orçamento" localSheetId="5">#REF!</definedName>
    <definedName name="orçamento" localSheetId="1">#REF!</definedName>
    <definedName name="orçamento" localSheetId="0">#REF!</definedName>
    <definedName name="orçamento">#REF!</definedName>
    <definedName name="PINTURA">#REF!</definedName>
    <definedName name="RESUMO">#REF!</definedName>
    <definedName name="TABELA" localSheetId="4">'[1]PLANILHA FONTE'!$B$1:$G$290</definedName>
    <definedName name="TABELA" localSheetId="2">'[2]PLANILHA FONTE'!$B$1:$G$290</definedName>
    <definedName name="TABELA" localSheetId="6">'[2]PLANILHA FONTE'!$B$1:$G$290</definedName>
    <definedName name="TABELA">'[2]PLANILHA FONTE'!$B$1:$G$290</definedName>
    <definedName name="_xlnm.Print_Titles" localSheetId="2">'COMPOSICOES SEM DESON'!$1:$9</definedName>
    <definedName name="_xlnm.Print_Titles" localSheetId="6">COTAÇÕES!$1:$8</definedName>
    <definedName name="_xlnm.Print_Titles" localSheetId="3">'CRONOGRAMA SEM DESON'!$1:$10</definedName>
    <definedName name="_xlnm.Print_Titles" localSheetId="5">'MEMORIA DE CALCULO'!$3:$9</definedName>
    <definedName name="_xlnm.Print_Titles" localSheetId="1">'ORÇAMENTO SEM DESON'!$2:$8</definedName>
    <definedName name="_xlnm.Print_Titles" localSheetId="0">'RESUMO SEM DESON'!$1:$8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0" i="47" l="1"/>
  <c r="B30" i="47"/>
  <c r="A30" i="47"/>
  <c r="C28" i="47"/>
  <c r="B28" i="47"/>
  <c r="A28" i="47"/>
  <c r="C26" i="47"/>
  <c r="B26" i="47"/>
  <c r="A26" i="47"/>
  <c r="C24" i="47"/>
  <c r="B24" i="47"/>
  <c r="A24" i="47"/>
  <c r="C22" i="47"/>
  <c r="B22" i="47"/>
  <c r="A22" i="47"/>
  <c r="C20" i="47"/>
  <c r="B20" i="47"/>
  <c r="A20" i="47"/>
  <c r="C18" i="47"/>
  <c r="B18" i="47"/>
  <c r="A18" i="47"/>
  <c r="C16" i="47"/>
  <c r="B16" i="47"/>
  <c r="A16" i="47"/>
  <c r="C14" i="47"/>
  <c r="B14" i="47"/>
  <c r="A14" i="47"/>
  <c r="C12" i="47"/>
  <c r="B12" i="47"/>
  <c r="A12" i="47"/>
  <c r="G91" i="50" l="1"/>
  <c r="G79" i="50"/>
  <c r="G59" i="50"/>
  <c r="G47" i="50"/>
  <c r="G34" i="50"/>
  <c r="G20" i="50"/>
  <c r="J306" i="44"/>
  <c r="J286" i="44"/>
  <c r="J280" i="44"/>
  <c r="J273" i="44"/>
  <c r="J255" i="44"/>
  <c r="J249" i="44"/>
  <c r="J242" i="44"/>
  <c r="J229" i="44"/>
  <c r="J222" i="44"/>
  <c r="J215" i="44"/>
  <c r="J208" i="44"/>
  <c r="J190" i="44"/>
  <c r="J179" i="44"/>
  <c r="J173" i="44"/>
  <c r="J164" i="44"/>
  <c r="J158" i="44"/>
  <c r="J149" i="44"/>
  <c r="J138" i="44"/>
  <c r="J132" i="44"/>
  <c r="J123" i="44"/>
  <c r="J116" i="44"/>
  <c r="J107" i="44"/>
  <c r="J102" i="44"/>
  <c r="J96" i="44"/>
  <c r="J87" i="44"/>
  <c r="J69" i="44"/>
  <c r="J61" i="44"/>
  <c r="J48" i="44"/>
  <c r="J35" i="44"/>
  <c r="J29" i="44"/>
  <c r="J320" i="44"/>
  <c r="J321" i="44" s="1"/>
  <c r="F60" i="45" s="1"/>
  <c r="J316" i="44"/>
  <c r="J312" i="44"/>
  <c r="J305" i="44"/>
  <c r="J304" i="44"/>
  <c r="J303" i="44"/>
  <c r="J302" i="44"/>
  <c r="J295" i="44"/>
  <c r="J290" i="44"/>
  <c r="J285" i="44"/>
  <c r="J284" i="44"/>
  <c r="J279" i="44"/>
  <c r="J278" i="44"/>
  <c r="J277" i="44"/>
  <c r="J272" i="44"/>
  <c r="J271" i="44"/>
  <c r="J266" i="44"/>
  <c r="J254" i="44"/>
  <c r="J253" i="44"/>
  <c r="J252" i="44"/>
  <c r="J248" i="44"/>
  <c r="J247" i="44"/>
  <c r="J246" i="44"/>
  <c r="J241" i="44"/>
  <c r="J240" i="44"/>
  <c r="J239" i="44"/>
  <c r="J233" i="44"/>
  <c r="J234" i="44" s="1"/>
  <c r="F42" i="45" s="1"/>
  <c r="J228" i="44"/>
  <c r="J227" i="44"/>
  <c r="J226" i="44"/>
  <c r="J221" i="44"/>
  <c r="J220" i="44"/>
  <c r="J219" i="44"/>
  <c r="J197" i="44"/>
  <c r="J189" i="44"/>
  <c r="J188" i="44"/>
  <c r="J187" i="44"/>
  <c r="J186" i="44"/>
  <c r="J185" i="44"/>
  <c r="J178" i="44"/>
  <c r="J177" i="44"/>
  <c r="J172" i="44"/>
  <c r="J171" i="44"/>
  <c r="J170" i="44"/>
  <c r="J169" i="44"/>
  <c r="J168" i="44"/>
  <c r="J163" i="44"/>
  <c r="J162" i="44"/>
  <c r="J157" i="44"/>
  <c r="J156" i="44"/>
  <c r="J155" i="44"/>
  <c r="J154" i="44"/>
  <c r="J153" i="44"/>
  <c r="J148" i="44"/>
  <c r="J147" i="44"/>
  <c r="J146" i="44"/>
  <c r="J145" i="44"/>
  <c r="J144" i="44"/>
  <c r="J143" i="44"/>
  <c r="J142" i="44"/>
  <c r="J137" i="44"/>
  <c r="J136" i="44"/>
  <c r="J131" i="44"/>
  <c r="J130" i="44"/>
  <c r="J129" i="44"/>
  <c r="J128" i="44"/>
  <c r="J127" i="44"/>
  <c r="J122" i="44"/>
  <c r="J115" i="44"/>
  <c r="J114" i="44"/>
  <c r="J113" i="44"/>
  <c r="J112" i="44"/>
  <c r="J111" i="44"/>
  <c r="J106" i="44"/>
  <c r="J101" i="44"/>
  <c r="J95" i="44"/>
  <c r="J94" i="44"/>
  <c r="J93" i="44"/>
  <c r="J92" i="44"/>
  <c r="J91" i="44"/>
  <c r="J86" i="44"/>
  <c r="J85" i="44"/>
  <c r="J84" i="44"/>
  <c r="J83" i="44"/>
  <c r="J82" i="44"/>
  <c r="J80" i="44"/>
  <c r="J78" i="44"/>
  <c r="J77" i="44"/>
  <c r="J76" i="44"/>
  <c r="J75" i="44"/>
  <c r="J74" i="44"/>
  <c r="J68" i="44"/>
  <c r="J67" i="44"/>
  <c r="J60" i="44"/>
  <c r="J53" i="44"/>
  <c r="J59" i="44"/>
  <c r="J57" i="44"/>
  <c r="J56" i="44"/>
  <c r="J55" i="44"/>
  <c r="J54" i="44"/>
  <c r="J47" i="44"/>
  <c r="J46" i="44"/>
  <c r="J44" i="44"/>
  <c r="J43" i="44"/>
  <c r="J42" i="44"/>
  <c r="J41" i="44"/>
  <c r="J40" i="44"/>
  <c r="J34" i="44"/>
  <c r="J33" i="44"/>
  <c r="J28" i="44"/>
  <c r="J27" i="44"/>
  <c r="J26" i="44"/>
  <c r="J19" i="44"/>
  <c r="J14" i="44"/>
  <c r="H60" i="45"/>
  <c r="H59" i="45"/>
  <c r="H56" i="45"/>
  <c r="H54" i="45"/>
  <c r="H53" i="45"/>
  <c r="H52" i="45"/>
  <c r="H51" i="45"/>
  <c r="H46" i="45"/>
  <c r="H45" i="45"/>
  <c r="H44" i="45"/>
  <c r="H42" i="45"/>
  <c r="H40" i="45"/>
  <c r="H39" i="45"/>
  <c r="H38" i="45"/>
  <c r="H36" i="45"/>
  <c r="H34" i="45"/>
  <c r="H32" i="45"/>
  <c r="H31" i="45"/>
  <c r="H30" i="45"/>
  <c r="H29" i="45"/>
  <c r="H28" i="45"/>
  <c r="H27" i="45"/>
  <c r="H26" i="45"/>
  <c r="H25" i="45"/>
  <c r="H23" i="45"/>
  <c r="H22" i="45"/>
  <c r="H21" i="45"/>
  <c r="H20" i="45"/>
  <c r="H19" i="45"/>
  <c r="H18" i="45"/>
  <c r="H16" i="45"/>
  <c r="H15" i="45"/>
  <c r="H13" i="45"/>
  <c r="H11" i="45"/>
  <c r="F68" i="50"/>
  <c r="F41" i="51"/>
  <c r="F30" i="51"/>
  <c r="F19" i="51"/>
  <c r="E318" i="44"/>
  <c r="D318" i="44"/>
  <c r="A318" i="44"/>
  <c r="I321" i="44" s="1"/>
  <c r="E231" i="44"/>
  <c r="D231" i="44"/>
  <c r="A231" i="44"/>
  <c r="I234" i="44" s="1"/>
  <c r="F233" i="44"/>
  <c r="G248" i="44" l="1"/>
  <c r="F248" i="44"/>
  <c r="G241" i="44"/>
  <c r="F241" i="44"/>
  <c r="F228" i="44"/>
  <c r="F221" i="44"/>
  <c r="F214" i="44"/>
  <c r="J214" i="44" s="1"/>
  <c r="F207" i="44"/>
  <c r="J207" i="44" s="1"/>
  <c r="K247" i="44"/>
  <c r="K240" i="44"/>
  <c r="K227" i="44"/>
  <c r="K220" i="44"/>
  <c r="J213" i="44"/>
  <c r="K213" i="44"/>
  <c r="J206" i="44"/>
  <c r="K206" i="44"/>
  <c r="K189" i="44"/>
  <c r="G178" i="44"/>
  <c r="F172" i="44"/>
  <c r="G172" i="44"/>
  <c r="H172" i="44"/>
  <c r="F163" i="44"/>
  <c r="G157" i="44"/>
  <c r="K156" i="44"/>
  <c r="L157" i="44"/>
  <c r="F157" i="44"/>
  <c r="K157" i="44"/>
  <c r="H157" i="44"/>
  <c r="F146" i="44"/>
  <c r="F137" i="44"/>
  <c r="F57" i="44"/>
  <c r="G57" i="44"/>
  <c r="H57" i="44"/>
  <c r="I57" i="44"/>
  <c r="I78" i="44" s="1"/>
  <c r="E314" i="44"/>
  <c r="D314" i="44"/>
  <c r="A314" i="44"/>
  <c r="I317" i="44" s="1"/>
  <c r="J317" i="44"/>
  <c r="F59" i="45" s="1"/>
  <c r="B31" i="31"/>
  <c r="A31" i="31"/>
  <c r="B29" i="31"/>
  <c r="A29" i="31"/>
  <c r="B27" i="31"/>
  <c r="A27" i="31"/>
  <c r="B25" i="31"/>
  <c r="A25" i="31"/>
  <c r="B23" i="31"/>
  <c r="A23" i="31"/>
  <c r="B21" i="31"/>
  <c r="A21" i="31"/>
  <c r="B19" i="31"/>
  <c r="A19" i="31"/>
  <c r="B17" i="31"/>
  <c r="A17" i="31"/>
  <c r="B15" i="31"/>
  <c r="A15" i="31"/>
  <c r="B13" i="31"/>
  <c r="A13" i="31"/>
  <c r="G163" i="44" l="1"/>
  <c r="F148" i="44"/>
  <c r="F295" i="44"/>
  <c r="E293" i="44"/>
  <c r="D293" i="44"/>
  <c r="A293" i="44"/>
  <c r="I296" i="44" s="1"/>
  <c r="I212" i="44"/>
  <c r="I205" i="44"/>
  <c r="I204" i="44"/>
  <c r="E257" i="44"/>
  <c r="D257" i="44"/>
  <c r="A257" i="44"/>
  <c r="I260" i="44" s="1"/>
  <c r="G89" i="50"/>
  <c r="G90" i="50"/>
  <c r="E40" i="51"/>
  <c r="F40" i="51" s="1"/>
  <c r="E39" i="51"/>
  <c r="F39" i="51" s="1"/>
  <c r="E38" i="51"/>
  <c r="F38" i="51" s="1"/>
  <c r="C33" i="51"/>
  <c r="G88" i="50"/>
  <c r="G87" i="50"/>
  <c r="E288" i="44"/>
  <c r="D288" i="44"/>
  <c r="A288" i="44"/>
  <c r="I291" i="44" s="1"/>
  <c r="A282" i="44"/>
  <c r="D282" i="44"/>
  <c r="E282" i="44"/>
  <c r="G77" i="50"/>
  <c r="G78" i="50"/>
  <c r="F86" i="50" l="1"/>
  <c r="G86" i="50" s="1"/>
  <c r="G47" i="45" s="1"/>
  <c r="H47" i="45" s="1"/>
  <c r="J296" i="44"/>
  <c r="F54" i="45" s="1"/>
  <c r="J291" i="44"/>
  <c r="F53" i="45" s="1"/>
  <c r="F178" i="44"/>
  <c r="F34" i="51"/>
  <c r="E275" i="44"/>
  <c r="D275" i="44"/>
  <c r="A275" i="44"/>
  <c r="I280" i="44" s="1"/>
  <c r="I286" i="44"/>
  <c r="F101" i="44"/>
  <c r="H60" i="44"/>
  <c r="G60" i="44"/>
  <c r="G68" i="44" s="1"/>
  <c r="F60" i="44"/>
  <c r="F46" i="44"/>
  <c r="E17" i="44"/>
  <c r="D17" i="44"/>
  <c r="A17" i="44"/>
  <c r="I20" i="44" s="1"/>
  <c r="F51" i="45" l="1"/>
  <c r="G82" i="50"/>
  <c r="F52" i="45"/>
  <c r="F68" i="44"/>
  <c r="E175" i="44"/>
  <c r="D175" i="44"/>
  <c r="A175" i="44"/>
  <c r="I179" i="44" s="1"/>
  <c r="G177" i="44"/>
  <c r="E134" i="44"/>
  <c r="D134" i="44"/>
  <c r="A134" i="44"/>
  <c r="I138" i="44" s="1"/>
  <c r="F162" i="44"/>
  <c r="G85" i="44"/>
  <c r="G82" i="44"/>
  <c r="E160" i="44"/>
  <c r="D160" i="44"/>
  <c r="A160" i="44"/>
  <c r="I164" i="44" s="1"/>
  <c r="F94" i="44"/>
  <c r="F93" i="44"/>
  <c r="F92" i="44"/>
  <c r="F91" i="44"/>
  <c r="F154" i="44"/>
  <c r="F155" i="44"/>
  <c r="F156" i="44"/>
  <c r="F153" i="44"/>
  <c r="G54" i="44"/>
  <c r="G55" i="44"/>
  <c r="G56" i="44"/>
  <c r="H239" i="44"/>
  <c r="G239" i="44"/>
  <c r="E237" i="44"/>
  <c r="D237" i="44"/>
  <c r="A237" i="44"/>
  <c r="I242" i="44" s="1"/>
  <c r="F259" i="44" l="1"/>
  <c r="J259" i="44" s="1"/>
  <c r="E310" i="44"/>
  <c r="D310" i="44"/>
  <c r="A310" i="44"/>
  <c r="I313" i="44" s="1"/>
  <c r="A308" i="44"/>
  <c r="D308" i="44"/>
  <c r="J313" i="44"/>
  <c r="F58" i="45" s="1"/>
  <c r="G68" i="50"/>
  <c r="G69" i="50" s="1"/>
  <c r="G64" i="50" s="1"/>
  <c r="F254" i="44"/>
  <c r="F266" i="44" s="1"/>
  <c r="H246" i="44"/>
  <c r="G246" i="44"/>
  <c r="F219" i="44"/>
  <c r="F212" i="44"/>
  <c r="F205" i="44"/>
  <c r="J205" i="44" s="1"/>
  <c r="F204" i="44"/>
  <c r="E31" i="44"/>
  <c r="A31" i="44"/>
  <c r="I35" i="44" s="1"/>
  <c r="D31" i="44"/>
  <c r="G58" i="50"/>
  <c r="G57" i="50"/>
  <c r="F14" i="45" l="1"/>
  <c r="J260" i="44"/>
  <c r="F47" i="45" s="1"/>
  <c r="F226" i="44"/>
  <c r="G14" i="45"/>
  <c r="H14" i="45" s="1"/>
  <c r="F246" i="44"/>
  <c r="F239" i="44"/>
  <c r="G58" i="45"/>
  <c r="H58" i="45" s="1"/>
  <c r="G53" i="50" l="1"/>
  <c r="F44" i="45"/>
  <c r="D300" i="44"/>
  <c r="F169" i="44"/>
  <c r="F170" i="44"/>
  <c r="F171" i="44"/>
  <c r="G128" i="44"/>
  <c r="G129" i="44"/>
  <c r="G130" i="44"/>
  <c r="F112" i="44"/>
  <c r="G112" i="44"/>
  <c r="F113" i="44"/>
  <c r="G113" i="44"/>
  <c r="F114" i="44"/>
  <c r="G114" i="44"/>
  <c r="G84" i="44"/>
  <c r="G83" i="44"/>
  <c r="F54" i="44"/>
  <c r="H54" i="44"/>
  <c r="F55" i="44"/>
  <c r="H55" i="44"/>
  <c r="F56" i="44"/>
  <c r="H56" i="44"/>
  <c r="F122" i="44"/>
  <c r="F19" i="44" s="1"/>
  <c r="J20" i="44" s="1"/>
  <c r="F11" i="45" s="1"/>
  <c r="I11" i="45" s="1"/>
  <c r="I43" i="44"/>
  <c r="I42" i="44"/>
  <c r="I41" i="44"/>
  <c r="I40" i="44"/>
  <c r="E24" i="44"/>
  <c r="D24" i="44"/>
  <c r="A24" i="44"/>
  <c r="I29" i="44" s="1"/>
  <c r="I254" i="44"/>
  <c r="C22" i="51"/>
  <c r="C11" i="51"/>
  <c r="K243" i="51"/>
  <c r="F29" i="51"/>
  <c r="F28" i="51"/>
  <c r="F27" i="51"/>
  <c r="F18" i="51"/>
  <c r="F17" i="51"/>
  <c r="F16" i="51"/>
  <c r="F76" i="50" l="1"/>
  <c r="G76" i="50" s="1"/>
  <c r="G72" i="50" s="1"/>
  <c r="F144" i="44"/>
  <c r="G155" i="44"/>
  <c r="F145" i="44"/>
  <c r="G156" i="44"/>
  <c r="F143" i="44"/>
  <c r="G154" i="44"/>
  <c r="F23" i="51"/>
  <c r="J212" i="44"/>
  <c r="J204" i="44"/>
  <c r="G171" i="44"/>
  <c r="G170" i="44"/>
  <c r="G169" i="44"/>
  <c r="I56" i="44"/>
  <c r="I77" i="44" s="1"/>
  <c r="I55" i="44"/>
  <c r="I76" i="44" s="1"/>
  <c r="I84" i="44" s="1"/>
  <c r="I54" i="44"/>
  <c r="F13" i="45"/>
  <c r="F12" i="51" l="1"/>
  <c r="G53" i="45"/>
  <c r="I85" i="44"/>
  <c r="H93" i="44"/>
  <c r="H113" i="44"/>
  <c r="H94" i="44"/>
  <c r="H114" i="44"/>
  <c r="I129" i="44"/>
  <c r="I75" i="44"/>
  <c r="I83" i="44" s="1"/>
  <c r="I130" i="44" l="1"/>
  <c r="G145" i="44" s="1"/>
  <c r="H92" i="44"/>
  <c r="H112" i="44"/>
  <c r="I128" i="44"/>
  <c r="G127" i="44"/>
  <c r="G153" i="44" s="1"/>
  <c r="H155" i="44" l="1"/>
  <c r="H170" i="44"/>
  <c r="H156" i="44"/>
  <c r="H171" i="44"/>
  <c r="G144" i="44"/>
  <c r="H154" i="44" l="1"/>
  <c r="H169" i="44"/>
  <c r="G143" i="44"/>
  <c r="A269" i="44"/>
  <c r="I273" i="44" s="1"/>
  <c r="E50" i="45"/>
  <c r="E269" i="44" s="1"/>
  <c r="C50" i="45"/>
  <c r="D50" i="45"/>
  <c r="D269" i="44" s="1"/>
  <c r="F50" i="45" l="1"/>
  <c r="E202" i="44" l="1"/>
  <c r="D202" i="44"/>
  <c r="A202" i="44"/>
  <c r="I208" i="44" s="1"/>
  <c r="E194" i="44"/>
  <c r="D194" i="44"/>
  <c r="A194" i="44"/>
  <c r="I198" i="44" s="1"/>
  <c r="D192" i="44"/>
  <c r="A192" i="44"/>
  <c r="H197" i="44"/>
  <c r="A200" i="44"/>
  <c r="D200" i="44"/>
  <c r="A210" i="44"/>
  <c r="I215" i="44" s="1"/>
  <c r="D210" i="44"/>
  <c r="E210" i="44"/>
  <c r="E183" i="44"/>
  <c r="D183" i="44"/>
  <c r="A183" i="44"/>
  <c r="I190" i="44" s="1"/>
  <c r="E166" i="44"/>
  <c r="D166" i="44"/>
  <c r="A166" i="44"/>
  <c r="I173" i="44" s="1"/>
  <c r="E151" i="44"/>
  <c r="D151" i="44"/>
  <c r="A151" i="44"/>
  <c r="I158" i="44" s="1"/>
  <c r="E140" i="44"/>
  <c r="D140" i="44"/>
  <c r="A140" i="44"/>
  <c r="I149" i="44" s="1"/>
  <c r="F142" i="44"/>
  <c r="E125" i="44"/>
  <c r="D125" i="44"/>
  <c r="A125" i="44"/>
  <c r="I132" i="44" s="1"/>
  <c r="F168" i="44"/>
  <c r="L153" i="44"/>
  <c r="K153" i="44"/>
  <c r="A181" i="44"/>
  <c r="D181" i="44"/>
  <c r="A217" i="44"/>
  <c r="I222" i="44" s="1"/>
  <c r="D217" i="44"/>
  <c r="E217" i="44"/>
  <c r="A224" i="44"/>
  <c r="G59" i="44"/>
  <c r="G53" i="44"/>
  <c r="E50" i="44"/>
  <c r="D50" i="44"/>
  <c r="A50" i="44"/>
  <c r="I61" i="44" s="1"/>
  <c r="E37" i="44"/>
  <c r="D37" i="44"/>
  <c r="A37" i="44"/>
  <c r="I48" i="44" s="1"/>
  <c r="H59" i="44"/>
  <c r="I53" i="44"/>
  <c r="I74" i="44" s="1"/>
  <c r="I82" i="44" s="1"/>
  <c r="H53" i="44"/>
  <c r="F53" i="44"/>
  <c r="F59" i="44"/>
  <c r="F67" i="44" s="1"/>
  <c r="F80" i="44" s="1"/>
  <c r="E109" i="44"/>
  <c r="D109" i="44"/>
  <c r="A109" i="44"/>
  <c r="I116" i="44" s="1"/>
  <c r="E104" i="44"/>
  <c r="D104" i="44"/>
  <c r="A104" i="44"/>
  <c r="I107" i="44" s="1"/>
  <c r="E98" i="44"/>
  <c r="D98" i="44"/>
  <c r="A98" i="44"/>
  <c r="I102" i="44" s="1"/>
  <c r="E89" i="44"/>
  <c r="D89" i="44"/>
  <c r="A89" i="44"/>
  <c r="I96" i="44" s="1"/>
  <c r="E71" i="44"/>
  <c r="D71" i="44"/>
  <c r="A71" i="44"/>
  <c r="I87" i="44" s="1"/>
  <c r="E65" i="44"/>
  <c r="D65" i="44"/>
  <c r="A65" i="44"/>
  <c r="I69" i="44" s="1"/>
  <c r="D63" i="44"/>
  <c r="A63" i="44"/>
  <c r="G111" i="44"/>
  <c r="F111" i="44"/>
  <c r="G106" i="44"/>
  <c r="E264" i="44"/>
  <c r="D264" i="44"/>
  <c r="A264" i="44"/>
  <c r="I267" i="44" s="1"/>
  <c r="F197" i="44" l="1"/>
  <c r="J198" i="44" s="1"/>
  <c r="F95" i="44"/>
  <c r="J267" i="44"/>
  <c r="G168" i="44"/>
  <c r="H91" i="44"/>
  <c r="H111" i="44"/>
  <c r="H101" i="44" l="1"/>
  <c r="G162" i="44"/>
  <c r="F106" i="44"/>
  <c r="F49" i="45"/>
  <c r="F15" i="45"/>
  <c r="I127" i="44"/>
  <c r="F16" i="45" l="1"/>
  <c r="F23" i="45"/>
  <c r="F40" i="45"/>
  <c r="F18" i="45"/>
  <c r="F36" i="45"/>
  <c r="H168" i="44"/>
  <c r="H153" i="44"/>
  <c r="G142" i="44"/>
  <c r="F34" i="45" l="1"/>
  <c r="F38" i="45" l="1"/>
  <c r="F26" i="45"/>
  <c r="F29" i="45"/>
  <c r="F31" i="45"/>
  <c r="A11" i="31"/>
  <c r="B11" i="31"/>
  <c r="I229" i="44"/>
  <c r="E41" i="45"/>
  <c r="E224" i="44" s="1"/>
  <c r="D41" i="45"/>
  <c r="D224" i="44" s="1"/>
  <c r="C41" i="45"/>
  <c r="A298" i="44"/>
  <c r="D262" i="44"/>
  <c r="A262" i="44"/>
  <c r="E300" i="44"/>
  <c r="A300" i="44"/>
  <c r="E250" i="44"/>
  <c r="D250" i="44"/>
  <c r="A250" i="44"/>
  <c r="E244" i="44"/>
  <c r="D244" i="44"/>
  <c r="A244" i="44"/>
  <c r="D236" i="44"/>
  <c r="A236" i="44"/>
  <c r="F39" i="45" l="1"/>
  <c r="E120" i="44"/>
  <c r="D120" i="44"/>
  <c r="A120" i="44"/>
  <c r="D118" i="44"/>
  <c r="A118" i="44"/>
  <c r="D22" i="44"/>
  <c r="A22" i="44"/>
  <c r="F45" i="45" l="1"/>
  <c r="F41" i="45"/>
  <c r="F22" i="45" l="1"/>
  <c r="F19" i="45"/>
  <c r="I306" i="44"/>
  <c r="I255" i="44"/>
  <c r="I249" i="44"/>
  <c r="I123" i="44"/>
  <c r="A10" i="44"/>
  <c r="E12" i="44"/>
  <c r="D12" i="44"/>
  <c r="A12" i="44"/>
  <c r="F136" i="44" l="1"/>
  <c r="F147" i="44"/>
  <c r="F56" i="45"/>
  <c r="F30" i="45" l="1"/>
  <c r="F27" i="45"/>
  <c r="F177" i="44"/>
  <c r="F32" i="45" l="1"/>
  <c r="F28" i="45"/>
  <c r="F20" i="45"/>
  <c r="F25" i="45"/>
  <c r="F21" i="45" l="1"/>
  <c r="F46" i="45" l="1"/>
  <c r="B10" i="47" l="1"/>
  <c r="A10" i="47"/>
  <c r="G46" i="50" l="1"/>
  <c r="G45" i="50"/>
  <c r="G44" i="50"/>
  <c r="G33" i="50"/>
  <c r="G32" i="50"/>
  <c r="G31" i="50"/>
  <c r="G30" i="50"/>
  <c r="G29" i="50"/>
  <c r="D10" i="44"/>
  <c r="I15" i="44"/>
  <c r="G17" i="50"/>
  <c r="G18" i="50"/>
  <c r="G19" i="50"/>
  <c r="G16" i="50"/>
  <c r="A7" i="50"/>
  <c r="A6" i="50"/>
  <c r="A5" i="50"/>
  <c r="L94" i="50"/>
  <c r="B5" i="50"/>
  <c r="B4" i="50"/>
  <c r="G49" i="45" l="1"/>
  <c r="H49" i="45" s="1"/>
  <c r="J15" i="44"/>
  <c r="F10" i="45" l="1"/>
  <c r="G40" i="50"/>
  <c r="G50" i="45"/>
  <c r="H50" i="45" s="1"/>
  <c r="G25" i="50"/>
  <c r="G41" i="45"/>
  <c r="H41" i="45" s="1"/>
  <c r="G12" i="50"/>
  <c r="A1" i="31" l="1"/>
  <c r="A1" i="44"/>
  <c r="A4" i="50" l="1"/>
  <c r="A1" i="47"/>
  <c r="B6" i="37"/>
  <c r="A6" i="47" l="1"/>
  <c r="A5" i="47"/>
  <c r="A4" i="47"/>
  <c r="B9" i="37" l="1"/>
  <c r="B8" i="37"/>
  <c r="B7" i="37"/>
  <c r="A6" i="31"/>
  <c r="A5" i="31"/>
  <c r="A4" i="31"/>
  <c r="A4" i="44"/>
  <c r="A6" i="44"/>
  <c r="C42" i="47" l="1"/>
  <c r="D25" i="37" l="1"/>
  <c r="D29" i="37" s="1"/>
  <c r="M4" i="45" s="1"/>
  <c r="E22" i="37"/>
  <c r="I59" i="45" l="1"/>
  <c r="I42" i="45"/>
  <c r="I60" i="45"/>
  <c r="I47" i="45"/>
  <c r="I54" i="45"/>
  <c r="I52" i="45"/>
  <c r="I53" i="45"/>
  <c r="I32" i="45"/>
  <c r="I51" i="45"/>
  <c r="I30" i="45"/>
  <c r="I27" i="45"/>
  <c r="I44" i="45"/>
  <c r="I58" i="45"/>
  <c r="I14" i="45"/>
  <c r="I50" i="45"/>
  <c r="I38" i="45"/>
  <c r="I31" i="45"/>
  <c r="I28" i="45"/>
  <c r="I29" i="45"/>
  <c r="I26" i="45"/>
  <c r="I16" i="45"/>
  <c r="I15" i="45"/>
  <c r="I23" i="45"/>
  <c r="I20" i="45"/>
  <c r="I22" i="45"/>
  <c r="I19" i="45"/>
  <c r="I49" i="45"/>
  <c r="I21" i="45"/>
  <c r="I18" i="45"/>
  <c r="I41" i="45"/>
  <c r="I39" i="45"/>
  <c r="I45" i="45"/>
  <c r="I46" i="45"/>
  <c r="I56" i="45"/>
  <c r="I55" i="45" s="1"/>
  <c r="I13" i="45"/>
  <c r="I25" i="45"/>
  <c r="I40" i="45"/>
  <c r="H10" i="45"/>
  <c r="I10" i="45" s="1"/>
  <c r="I9" i="45" s="1"/>
  <c r="I37" i="45" l="1"/>
  <c r="C23" i="31" s="1"/>
  <c r="K23" i="31" s="1"/>
  <c r="I17" i="45"/>
  <c r="C15" i="31" s="1"/>
  <c r="I57" i="45"/>
  <c r="C31" i="31" s="1"/>
  <c r="O31" i="31" s="1"/>
  <c r="I48" i="45"/>
  <c r="I43" i="45"/>
  <c r="I24" i="45"/>
  <c r="C17" i="31" s="1"/>
  <c r="I17" i="31" s="1"/>
  <c r="I12" i="45"/>
  <c r="C27" i="31"/>
  <c r="O27" i="31" s="1"/>
  <c r="C25" i="31"/>
  <c r="M25" i="31" s="1"/>
  <c r="I36" i="45"/>
  <c r="I35" i="45" s="1"/>
  <c r="I34" i="45"/>
  <c r="I33" i="45" s="1"/>
  <c r="C19" i="31" s="1"/>
  <c r="C29" i="31"/>
  <c r="K29" i="31" s="1"/>
  <c r="I61" i="45" l="1"/>
  <c r="C13" i="31"/>
  <c r="E13" i="31" s="1"/>
  <c r="I19" i="31"/>
  <c r="G19" i="31"/>
  <c r="C21" i="31"/>
  <c r="G21" i="31" s="1"/>
  <c r="G32" i="47"/>
  <c r="C11" i="31"/>
  <c r="G29" i="47"/>
  <c r="G23" i="47"/>
  <c r="G27" i="47"/>
  <c r="G31" i="47"/>
  <c r="G21" i="47"/>
  <c r="C10" i="47"/>
  <c r="G13" i="31" l="1"/>
  <c r="E11" i="31"/>
  <c r="N39" i="31"/>
  <c r="O33" i="31"/>
  <c r="G17" i="31"/>
  <c r="J17" i="45"/>
  <c r="J35" i="45"/>
  <c r="J48" i="45"/>
  <c r="J9" i="45"/>
  <c r="E15" i="31"/>
  <c r="G15" i="47"/>
  <c r="G19" i="47"/>
  <c r="G25" i="47"/>
  <c r="G17" i="47"/>
  <c r="G33" i="31" l="1"/>
  <c r="F33" i="31" s="1"/>
  <c r="C33" i="47"/>
  <c r="M33" i="31"/>
  <c r="E33" i="31"/>
  <c r="K33" i="31"/>
  <c r="I33" i="31"/>
  <c r="D33" i="31" l="1"/>
  <c r="L33" i="31"/>
  <c r="H33" i="31"/>
  <c r="J33" i="31"/>
  <c r="N33" i="31"/>
  <c r="E36" i="31"/>
  <c r="G36" i="31" l="1"/>
  <c r="E37" i="31"/>
  <c r="I36" i="31" l="1"/>
  <c r="G37" i="31"/>
  <c r="K36" i="31" l="1"/>
  <c r="I37" i="31"/>
  <c r="G11" i="47"/>
  <c r="M36" i="31" l="1"/>
  <c r="K37" i="31"/>
  <c r="D28" i="47"/>
  <c r="D26" i="47"/>
  <c r="D22" i="47"/>
  <c r="D30" i="47"/>
  <c r="D24" i="47"/>
  <c r="D16" i="47"/>
  <c r="D18" i="47"/>
  <c r="D20" i="47"/>
  <c r="D10" i="47"/>
  <c r="D14" i="47"/>
  <c r="D12" i="47"/>
  <c r="G13" i="47"/>
  <c r="D33" i="47" l="1"/>
  <c r="M37" i="31"/>
  <c r="O36" i="31"/>
  <c r="O37" i="31" s="1"/>
</calcChain>
</file>

<file path=xl/sharedStrings.xml><?xml version="1.0" encoding="utf-8"?>
<sst xmlns="http://schemas.openxmlformats.org/spreadsheetml/2006/main" count="825" uniqueCount="372">
  <si>
    <t>ITEM</t>
  </si>
  <si>
    <t>UN.</t>
  </si>
  <si>
    <t>TAXA</t>
  </si>
  <si>
    <t>ALTURA</t>
  </si>
  <si>
    <t>TOTAL</t>
  </si>
  <si>
    <t>1.0</t>
  </si>
  <si>
    <t>SERVIÇOS PRELIMINARES</t>
  </si>
  <si>
    <t>1.1</t>
  </si>
  <si>
    <t>m²</t>
  </si>
  <si>
    <t>2.0</t>
  </si>
  <si>
    <t>2.1</t>
  </si>
  <si>
    <t>2.2</t>
  </si>
  <si>
    <t>CÓDIGO</t>
  </si>
  <si>
    <t>PLANILHA ORÇAMENTÁRIA</t>
  </si>
  <si>
    <t>ESQUADRIAS</t>
  </si>
  <si>
    <t>PINTURA</t>
  </si>
  <si>
    <t>Área</t>
  </si>
  <si>
    <t>Total</t>
  </si>
  <si>
    <t>m³</t>
  </si>
  <si>
    <t>MEMÓRIA DE CÁLCULO EXPLICATIVO</t>
  </si>
  <si>
    <t>2.3</t>
  </si>
  <si>
    <t>Pilares</t>
  </si>
  <si>
    <t>Quantidade</t>
  </si>
  <si>
    <t xml:space="preserve">Discriminação: </t>
  </si>
  <si>
    <t>Unidade</t>
  </si>
  <si>
    <t>Preço Unitário Custo</t>
  </si>
  <si>
    <t>Composição</t>
  </si>
  <si>
    <t>COMPOSIÇÕES DE CUSTO UNITÁRIOS COMPLEMENTARES</t>
  </si>
  <si>
    <t>COMP.</t>
  </si>
  <si>
    <t>LARG.</t>
  </si>
  <si>
    <t>REFERÊNCIA</t>
  </si>
  <si>
    <t>DESCRIÇÃO DOS SERVIÇOS</t>
  </si>
  <si>
    <t>SINAPI</t>
  </si>
  <si>
    <t>TOTAL GERAL</t>
  </si>
  <si>
    <t>RESUMO DO ORÇAMENTO</t>
  </si>
  <si>
    <t>CRONOGRAMA FÍSICO FINANCEIRO</t>
  </si>
  <si>
    <t>ETAPA</t>
  </si>
  <si>
    <t>SERVIÇO</t>
  </si>
  <si>
    <t>TOTAL ETAPA (R$)</t>
  </si>
  <si>
    <t>TOTAIS PARCIAIS</t>
  </si>
  <si>
    <t>TOTAIS ACUMULADOS</t>
  </si>
  <si>
    <t xml:space="preserve">DESCRIÇÃO </t>
  </si>
  <si>
    <t>SIGLA</t>
  </si>
  <si>
    <t>VALOR (*)</t>
  </si>
  <si>
    <t>FAIXA REFERENCIAL - Ref. Acórdão 2622/2013</t>
  </si>
  <si>
    <t xml:space="preserve">Taxa de rateio da Administração Central </t>
  </si>
  <si>
    <t>AC</t>
  </si>
  <si>
    <t xml:space="preserve">Taxa de Despesas Financeiras </t>
  </si>
  <si>
    <t>DF</t>
  </si>
  <si>
    <t>Taxa de Risco</t>
  </si>
  <si>
    <t>R</t>
  </si>
  <si>
    <t>COFINS</t>
  </si>
  <si>
    <t>ISS (**)</t>
  </si>
  <si>
    <t>ISS</t>
  </si>
  <si>
    <t>PIS</t>
  </si>
  <si>
    <t>CONTRIBUIÇÃO PREVIDENCIÁRIA SOBRE RECEITA BRUTA (***)</t>
  </si>
  <si>
    <t>CPRB</t>
  </si>
  <si>
    <t>*</t>
  </si>
  <si>
    <t>I</t>
  </si>
  <si>
    <t>Taxa de Lucro</t>
  </si>
  <si>
    <t>L</t>
  </si>
  <si>
    <t>BDI Resultante</t>
  </si>
  <si>
    <t>Fórmula do BDI conforme Acórdão TCU 2622/2013-P:</t>
  </si>
  <si>
    <t xml:space="preserve">Obs.: </t>
  </si>
  <si>
    <t>(*) Todas as taxas adotadas estão na faixa admissível do Acórdão 2622/2013-P do TCU.</t>
  </si>
  <si>
    <t>Obs.:</t>
  </si>
  <si>
    <t>Fórmula BDI conforme Acórdão TCU 325/2007:</t>
  </si>
  <si>
    <t>COMPOSIÇÃO DE BDI PARA SERVIÇOS GERAIS DE EDIFICAÇÕES</t>
  </si>
  <si>
    <t>med</t>
  </si>
  <si>
    <r>
      <t xml:space="preserve">De </t>
    </r>
    <r>
      <rPr>
        <b/>
        <sz val="10"/>
        <color theme="1"/>
        <rFont val="Arial"/>
        <family val="2"/>
      </rPr>
      <t>3,00%</t>
    </r>
    <r>
      <rPr>
        <sz val="10"/>
        <color theme="1"/>
        <rFont val="Arial"/>
        <family val="2"/>
      </rPr>
      <t xml:space="preserve"> até </t>
    </r>
    <r>
      <rPr>
        <b/>
        <sz val="10"/>
        <color theme="1"/>
        <rFont val="Arial"/>
        <family val="2"/>
      </rPr>
      <t>5,50%</t>
    </r>
    <r>
      <rPr>
        <sz val="10"/>
        <color theme="1"/>
        <rFont val="Arial"/>
        <family val="2"/>
      </rPr>
      <t xml:space="preserve">; médio = </t>
    </r>
    <r>
      <rPr>
        <b/>
        <sz val="10"/>
        <color theme="1"/>
        <rFont val="Arial"/>
        <family val="2"/>
      </rPr>
      <t>4,00%</t>
    </r>
  </si>
  <si>
    <r>
      <t xml:space="preserve">De </t>
    </r>
    <r>
      <rPr>
        <b/>
        <sz val="10"/>
        <color theme="1"/>
        <rFont val="Arial"/>
        <family val="2"/>
      </rPr>
      <t>0,59%</t>
    </r>
    <r>
      <rPr>
        <sz val="10"/>
        <color theme="1"/>
        <rFont val="Arial"/>
        <family val="2"/>
      </rPr>
      <t xml:space="preserve"> até </t>
    </r>
    <r>
      <rPr>
        <b/>
        <sz val="10"/>
        <color theme="1"/>
        <rFont val="Arial"/>
        <family val="2"/>
      </rPr>
      <t>1,39%</t>
    </r>
    <r>
      <rPr>
        <sz val="10"/>
        <color theme="1"/>
        <rFont val="Arial"/>
        <family val="2"/>
      </rPr>
      <t xml:space="preserve">; médio = </t>
    </r>
    <r>
      <rPr>
        <b/>
        <sz val="10"/>
        <color theme="1"/>
        <rFont val="Arial"/>
        <family val="2"/>
      </rPr>
      <t>1,23%</t>
    </r>
  </si>
  <si>
    <r>
      <t xml:space="preserve">De </t>
    </r>
    <r>
      <rPr>
        <b/>
        <sz val="10"/>
        <color theme="1"/>
        <rFont val="Arial"/>
        <family val="2"/>
      </rPr>
      <t>0,97%</t>
    </r>
    <r>
      <rPr>
        <sz val="10"/>
        <color theme="1"/>
        <rFont val="Arial"/>
        <family val="2"/>
      </rPr>
      <t xml:space="preserve"> até </t>
    </r>
    <r>
      <rPr>
        <b/>
        <sz val="10"/>
        <color theme="1"/>
        <rFont val="Arial"/>
        <family val="2"/>
      </rPr>
      <t>1,27%</t>
    </r>
    <r>
      <rPr>
        <sz val="10"/>
        <color theme="1"/>
        <rFont val="Arial"/>
        <family val="2"/>
      </rPr>
      <t xml:space="preserve">; médio = </t>
    </r>
    <r>
      <rPr>
        <b/>
        <sz val="10"/>
        <color theme="1"/>
        <rFont val="Arial"/>
        <family val="2"/>
      </rPr>
      <t>1,27%</t>
    </r>
  </si>
  <si>
    <t>Taxa de Seguro e Taxa de Garantia</t>
  </si>
  <si>
    <t>S + G</t>
  </si>
  <si>
    <t>*med=min</t>
  </si>
  <si>
    <r>
      <t xml:space="preserve">De </t>
    </r>
    <r>
      <rPr>
        <b/>
        <sz val="10"/>
        <color theme="1"/>
        <rFont val="Arial"/>
        <family val="2"/>
      </rPr>
      <t>0,80%</t>
    </r>
    <r>
      <rPr>
        <sz val="10"/>
        <color theme="1"/>
        <rFont val="Arial"/>
        <family val="2"/>
      </rPr>
      <t xml:space="preserve"> até </t>
    </r>
    <r>
      <rPr>
        <b/>
        <sz val="10"/>
        <color theme="1"/>
        <rFont val="Arial"/>
        <family val="2"/>
      </rPr>
      <t>1,00%</t>
    </r>
    <r>
      <rPr>
        <sz val="10"/>
        <color theme="1"/>
        <rFont val="Arial"/>
        <family val="2"/>
      </rPr>
      <t xml:space="preserve">; médio = </t>
    </r>
    <r>
      <rPr>
        <b/>
        <sz val="10"/>
        <color theme="1"/>
        <rFont val="Arial"/>
        <family val="2"/>
      </rPr>
      <t>0,80%</t>
    </r>
  </si>
  <si>
    <t xml:space="preserve">Taxa de Tributos (Soma dos itens COFINS, ISS, PIS e CPRB) </t>
  </si>
  <si>
    <t>min-med</t>
  </si>
  <si>
    <r>
      <t xml:space="preserve">De </t>
    </r>
    <r>
      <rPr>
        <b/>
        <sz val="10"/>
        <color theme="1"/>
        <rFont val="Arial"/>
        <family val="2"/>
      </rPr>
      <t>6,16%</t>
    </r>
    <r>
      <rPr>
        <sz val="10"/>
        <color theme="1"/>
        <rFont val="Arial"/>
        <family val="2"/>
      </rPr>
      <t xml:space="preserve"> até </t>
    </r>
    <r>
      <rPr>
        <b/>
        <sz val="10"/>
        <color theme="1"/>
        <rFont val="Arial"/>
        <family val="2"/>
      </rPr>
      <t>8,96%</t>
    </r>
    <r>
      <rPr>
        <sz val="10"/>
        <color theme="1"/>
        <rFont val="Arial"/>
        <family val="2"/>
      </rPr>
      <t xml:space="preserve">; médio = </t>
    </r>
    <r>
      <rPr>
        <b/>
        <sz val="10"/>
        <color theme="1"/>
        <rFont val="Arial"/>
        <family val="2"/>
      </rPr>
      <t>7,40%</t>
    </r>
  </si>
  <si>
    <r>
      <t xml:space="preserve">De </t>
    </r>
    <r>
      <rPr>
        <b/>
        <sz val="10"/>
        <color theme="1"/>
        <rFont val="Arial"/>
        <family val="2"/>
      </rPr>
      <t>20,34%</t>
    </r>
    <r>
      <rPr>
        <sz val="10"/>
        <color theme="1"/>
        <rFont val="Arial"/>
        <family val="2"/>
      </rPr>
      <t xml:space="preserve"> até </t>
    </r>
    <r>
      <rPr>
        <b/>
        <sz val="10"/>
        <color theme="1"/>
        <rFont val="Arial"/>
        <family val="2"/>
      </rPr>
      <t>25,00%</t>
    </r>
    <r>
      <rPr>
        <sz val="10"/>
        <color theme="1"/>
        <rFont val="Arial"/>
        <family val="2"/>
      </rPr>
      <t xml:space="preserve">; médio = </t>
    </r>
    <r>
      <rPr>
        <b/>
        <sz val="10"/>
        <color theme="1"/>
        <rFont val="Arial"/>
        <family val="2"/>
      </rPr>
      <t>22,12%</t>
    </r>
  </si>
  <si>
    <r>
      <rPr>
        <sz val="12"/>
        <color theme="1"/>
        <rFont val="Arial"/>
        <family val="2"/>
      </rPr>
      <t xml:space="preserve">    Os custos indiretos são decorrentes da estrutura da obra e da empresa e que não podem ser atribuídos diretamente à execução de um dado serviço.
    Os custos indiretos variam muito, principalmente, em função do local de execução dos serviços, do tipo da obra, impostos incidentes, e ainda com as exigências do edital ou contrato. Devem ser distribuídos pelos custos unitários diretos totais dos serviços na forma de percentual destes.
    Os custos indiretos que mais afetam a construção estão a seguir identificados, entretanto, o engenheiro de custos deve analisar em cada caso sua validade. </t>
    </r>
    <r>
      <rPr>
        <b/>
        <sz val="12"/>
        <color theme="1"/>
        <rFont val="Arial"/>
        <family val="2"/>
      </rPr>
      <t xml:space="preserve">
</t>
    </r>
  </si>
  <si>
    <t>VALOR TOTAL (R$)</t>
  </si>
  <si>
    <t>COMPOSIÇÃO</t>
  </si>
  <si>
    <t>COMP-001</t>
  </si>
  <si>
    <t>REVESTIMENTOS</t>
  </si>
  <si>
    <t>V. UNIT. S/BDI</t>
  </si>
  <si>
    <t>V. UNIT. C/BDI</t>
  </si>
  <si>
    <t>UN</t>
  </si>
  <si>
    <t xml:space="preserve">Fonte </t>
  </si>
  <si>
    <t>Código</t>
  </si>
  <si>
    <t>Coeficiente</t>
  </si>
  <si>
    <t>Custo
Unitário</t>
  </si>
  <si>
    <t>Custo
Total</t>
  </si>
  <si>
    <t>OK</t>
  </si>
  <si>
    <t>COMP-002</t>
  </si>
  <si>
    <t>COMP-003</t>
  </si>
  <si>
    <t>4.2.3</t>
  </si>
  <si>
    <t>SEINFRA</t>
  </si>
  <si>
    <t xml:space="preserve">TRAMA DE MADEIRA COMPOSTA POR RIPAS, CAIBROS E TERÇAS PARA TELHADOS DE ATÉ 2 ÁGUAS PARA TELHA CERÂMICA CAPA-CANAL, INCLUSO TRANSPORTE VERTICAL. </t>
  </si>
  <si>
    <t>QUANT.</t>
  </si>
  <si>
    <t>BDI Ñ DESON</t>
  </si>
  <si>
    <t>(BDI padrão Edificações sem CPRB considerando M.O. de 40%)</t>
  </si>
  <si>
    <t>COMPOSIÇÃO DE B.D.I. – BONIFICAÇÃO E DESPESAS INDIRETAS - SEM DESONERAÇÃO</t>
  </si>
  <si>
    <t>TOTAL GLOBAL</t>
  </si>
  <si>
    <t>REPRESEN-
TATIVIDADE</t>
  </si>
  <si>
    <t>LOCALIZAÇÃO: LIMOEIRO - PE</t>
  </si>
  <si>
    <t>Quant.</t>
  </si>
  <si>
    <t>PERCENT.</t>
  </si>
  <si>
    <t>VALOR</t>
  </si>
  <si>
    <t>SINAPI I</t>
  </si>
  <si>
    <t>SINAPI C</t>
  </si>
  <si>
    <t>88316</t>
  </si>
  <si>
    <t>Comp.</t>
  </si>
  <si>
    <t>ALVENARIA DE VEDAÇÃO</t>
  </si>
  <si>
    <t>INFRAESTRUTURA</t>
  </si>
  <si>
    <t>SUPERESTRUTURA</t>
  </si>
  <si>
    <t>MOVIMENTAÇÃO DE TERRA</t>
  </si>
  <si>
    <t>ALVENARIA DE VEDAÇÃO DE BLOCOS CERÂMICOS FURADOS NA HORIZONTAL DE 9X19 X29 CM (ESPESSURA 9 CM) E ARGAMASSA DE ASSENTAMENTO COM PREPARO EM BETONEIRA. AF_12/2021</t>
  </si>
  <si>
    <t>Altura</t>
  </si>
  <si>
    <t>Compr.</t>
  </si>
  <si>
    <t>ALVENARIA DE EMBASAMENTO COM BLOCO ESTRUTURAL DE CERÂMICA, DE 14X19X29 CM E ARGAMASSA DE ASSENTAMENTO COM PREPARO EM BETONEIRA. AF_05/2020</t>
  </si>
  <si>
    <t>Alt.</t>
  </si>
  <si>
    <t>Larg.</t>
  </si>
  <si>
    <t>CONCRETO FCK = 25MPA, TRAÇO 1:2,3:2,7 (EM MASSA SECA DE CIMENTO/ AREIA MÉDIA/ BRITA 1) - PREPARO MECÂNICO COM BETONEIRA 400 L. AF_05/2021</t>
  </si>
  <si>
    <t>CONCRETAGEM DE PILARES, FCK = 25 MPA, COM USO DE BALDES - LANÇAMENTO, ADENSAMENTO E ACABAMENTO. AF_02/2022</t>
  </si>
  <si>
    <t>C2796</t>
  </si>
  <si>
    <t>ESCAVAÇÃO MECÂNICA SOLO DE 2A.CAT. PROF. ATÉ 2.00m</t>
  </si>
  <si>
    <t>REATERRO MANUAL APILOADO COM SOQUETE. AF_10/2017</t>
  </si>
  <si>
    <t>SINAPI - I</t>
  </si>
  <si>
    <t>PLACA DE OBRA (PARA CONSTRUCAO CIVIL) EM CHAPA GALVANIZADA *N. 22*, ADESIVADA DE *2,4 X 1,2* M (SEM POSTES PARA FIXACAO)</t>
  </si>
  <si>
    <t>Taxa</t>
  </si>
  <si>
    <t>IMPERMEABILIZAÇÃO</t>
  </si>
  <si>
    <t>IMPERMEABILIZAÇÃO DE SUPERFÍCIE COM EMULSÃO ASFÁLTICA, 2 DEMÃOS AF_06/2018</t>
  </si>
  <si>
    <t>CHAPISCO APLICADO EM ALVENARIA (COM PRESENÇA DE VÃOS) E ESTRUTURAS DE CONCRETO DE FACHADA, COM COLHER DE PEDREIRO. ARGAMASSA TRAÇO 1:3 COM  PREPARO EM BETONEIRA 400L. AF_06/2014</t>
  </si>
  <si>
    <t>EMBOÇO OU MASSA ÚNICA EM ARGAMASSA TRAÇO 1:2:8, PREPARO MECÂNICO COM BETONEIRA 400 L, APLICADA MANUALMENTE EM PANOS DE FACHADA COM PRESENÇA
 DE VÃOS, ESPESSURA DE 25 MM. AF_08/2022</t>
  </si>
  <si>
    <t>kg</t>
  </si>
  <si>
    <t>34357</t>
  </si>
  <si>
    <t xml:space="preserve"> REJUNTE CIMENTICIO, QUALQUER COR</t>
  </si>
  <si>
    <t xml:space="preserve">88256 </t>
  </si>
  <si>
    <t>AZULEJISTA OU LADRILHISTA COM ENCARGOS COMPLEMENTARES</t>
  </si>
  <si>
    <t>h</t>
  </si>
  <si>
    <t xml:space="preserve"> SERVENTE COM ENCARGOS COMPLEMENTARES </t>
  </si>
  <si>
    <t>536</t>
  </si>
  <si>
    <t>REVESTIMENTO EM CERAMICA ESMALTADA EXTRA, PEI MENOR OU IGUAL A 3, FORMATO MENOR OU IGUAL A 2025 CM2</t>
  </si>
  <si>
    <t>ALT.</t>
  </si>
  <si>
    <t>Perím.</t>
  </si>
  <si>
    <t>*FONTE DA COMPOSIÇÃO SINAPI 88786</t>
  </si>
  <si>
    <t>37596</t>
  </si>
  <si>
    <t xml:space="preserve"> ARGAMASSA COLANTE TIPO AC III E </t>
  </si>
  <si>
    <t>REVESTIMENTO CERÂMICO COM PLACAS TIPO ESMALTADA EXTRA DE DIMENSÕES 10X10</t>
  </si>
  <si>
    <t xml:space="preserve">SERVENTE COM ENCARGOS COMPLEMENTARES </t>
  </si>
  <si>
    <t>PINTURA COM TINTA ALQUÍDICA DE ACABAMENTO (ESMALTE SINTÉTICO ACETINADO) APLICADA A ROLO OU PINCEL SOBRE PERFIL METÁLICO EXECUTADO EM FÁBRICA  (POR DEMÃO). AF_01/2020</t>
  </si>
  <si>
    <t>*FONTE DA COMPOSIÇÃO SINAPI 100702</t>
  </si>
  <si>
    <t>PORTAO DE CORRER EM GRADIL FIXO DE BARRA DE FERRO CHATA DE 3 X 1/4" NA VERTICAL, SEM REQUADRO, ACABAMENTO NATURAL, COM TRILHOS E ROLDANAS</t>
  </si>
  <si>
    <t>37562</t>
  </si>
  <si>
    <t>88309</t>
  </si>
  <si>
    <t xml:space="preserve"> PEDREIRO COM ENCARGOS COMPLEMENTARESCOMPLEMENTARES</t>
  </si>
  <si>
    <t>ARMAÇÃO DE BLOCO, VIGA BALDRAME OU SAPATA UTILIZANDO AÇO CA-50 DE 10 MM - MONTAGEM. AF_06/2017</t>
  </si>
  <si>
    <t>Kg/m</t>
  </si>
  <si>
    <t>Comp. Por unidade (m)</t>
  </si>
  <si>
    <t>ARMAÇÃO DE BLOCO, VIGA BALDRAME OU SAPATA UTILIZANDO AÇO CA-50 DE 6,3 MM - MONTAGEM. AF_06/2017</t>
  </si>
  <si>
    <t>FABRICAÇÃO, MONTAGEM E DESMONTAGEM DE FÔRMA PARA VIGA BALDRAME, EM MADEIRA SERRADA, E=25 MM, 4 UTILIZAÇÕES. AF_06/2017</t>
  </si>
  <si>
    <t>ARMAÇÃO DE PILAR OU VIGA DE ESTRUTURA DE CONCRETO ARMADO EMBUTIDA EM ALVENARIA DE VEDAÇÃO UTILIZANDO AÇO CA-50 DE 10,0 MM - MONTAGEM. AF_06/ 2022</t>
  </si>
  <si>
    <t>ARMAÇÃO DE PILAR OU VIGA DE ESTRUTURA DE CONCRETO ARMADO EMBUTIDA EM ALVENARIA DE VEDAÇÃO UTILIZANDO AÇO CA-50 DE 6,3 MM - MONTAGEM. AF_06/2 022</t>
  </si>
  <si>
    <t>Quant. Por peça</t>
  </si>
  <si>
    <t>Quant. De peças</t>
  </si>
  <si>
    <t>Comp. Por peça (m)</t>
  </si>
  <si>
    <t>kg/m</t>
  </si>
  <si>
    <t>Quant. De Peças</t>
  </si>
  <si>
    <t>Quant. Kg total</t>
  </si>
  <si>
    <t>MONTAGEM E DESMONTAGEM DE FÔRMA DE PILARES RETANGULARES E ESTRUTURAS SIMILARES, PÉ-DIREITO SIMPLES, EM MADEIRA SERRADA, 4 UTILIZAÇÕES. AF_09
 /2020</t>
  </si>
  <si>
    <t>LASTRO DE CONCRETO MAGRO, APLICADO EM BLOCOS DE COROAMENTO OU SAPATAS, ESPESSURA DE 5 CM. AF_08/2017</t>
  </si>
  <si>
    <t>1º mês</t>
  </si>
  <si>
    <t>2º mês</t>
  </si>
  <si>
    <t>3º mês</t>
  </si>
  <si>
    <t>4º mês</t>
  </si>
  <si>
    <t>5º mês</t>
  </si>
  <si>
    <t>6º mês</t>
  </si>
  <si>
    <t>C1043</t>
  </si>
  <si>
    <t>DEMOLIÇÃO DE ALVENARIA DE TIJOLOS S/ REAPROVEITAMENTO</t>
  </si>
  <si>
    <t>Desconto</t>
  </si>
  <si>
    <t>Muro</t>
  </si>
  <si>
    <t>Muro - SAPATAS - 60X60X20</t>
  </si>
  <si>
    <t>Muro - Alvenaria de embasamento</t>
  </si>
  <si>
    <t>Muro - Cinta</t>
  </si>
  <si>
    <t>Muro - Arranque dos pilares</t>
  </si>
  <si>
    <t>Muro - Sapatas - 60X60X20 - 6Ø10 mm - L=73 cm</t>
  </si>
  <si>
    <t>Muro - Sapatas 60x60x20</t>
  </si>
  <si>
    <t>Muro - cinta</t>
  </si>
  <si>
    <t>Desconto pilares</t>
  </si>
  <si>
    <t>(**) A alíquota de ISS no Município de Limoeiro/PE é de 5% sobre os custos de mão de obra. 
Considerou-se para todos os serviços uma proporção de 70% de mão de obra, de modo que a taxa de ISS a incidir sobre os custos unitários dos itens será de 5% x 70% = 3,50%.</t>
  </si>
  <si>
    <t>C3121</t>
  </si>
  <si>
    <t>REBOCO C/ ARGAMASSA DE CIMENTO E AREIA PENEIRADA, TRAÇO 1:6</t>
  </si>
  <si>
    <t>COTAÇÃO 1</t>
  </si>
  <si>
    <t>CNPJ</t>
  </si>
  <si>
    <t xml:space="preserve">ESTABELECIMENTO </t>
  </si>
  <si>
    <t>COTAÇÃO 2</t>
  </si>
  <si>
    <t>3.0</t>
  </si>
  <si>
    <t>3.1</t>
  </si>
  <si>
    <t>3.2</t>
  </si>
  <si>
    <t>3.3</t>
  </si>
  <si>
    <t>3.4</t>
  </si>
  <si>
    <t>3.5</t>
  </si>
  <si>
    <t>3.6</t>
  </si>
  <si>
    <t>4.0</t>
  </si>
  <si>
    <t>4.1</t>
  </si>
  <si>
    <t>4.2</t>
  </si>
  <si>
    <t>4.3</t>
  </si>
  <si>
    <t>4.4</t>
  </si>
  <si>
    <t>4.5</t>
  </si>
  <si>
    <t>5.0</t>
  </si>
  <si>
    <t>5.1</t>
  </si>
  <si>
    <t>6.0</t>
  </si>
  <si>
    <t>6.1</t>
  </si>
  <si>
    <t>7.0</t>
  </si>
  <si>
    <t>7.1</t>
  </si>
  <si>
    <t>7.2</t>
  </si>
  <si>
    <t>7.3</t>
  </si>
  <si>
    <t>7.4</t>
  </si>
  <si>
    <t>8.0</t>
  </si>
  <si>
    <t>8.1</t>
  </si>
  <si>
    <t>8.2</t>
  </si>
  <si>
    <t>9.0</t>
  </si>
  <si>
    <t>9.1</t>
  </si>
  <si>
    <t>9.2</t>
  </si>
  <si>
    <t>10.0</t>
  </si>
  <si>
    <t>10.1</t>
  </si>
  <si>
    <t>Grade do muro frontal</t>
  </si>
  <si>
    <t>C1066</t>
  </si>
  <si>
    <t>DEMOLIÇÃO DE PISO CIMENTADO SOBRE LASTRO DE CONCRETO</t>
  </si>
  <si>
    <t>Calçada frontal (lado da barbearia)</t>
  </si>
  <si>
    <t>Calçada traseira (lado da academia da cidade)</t>
  </si>
  <si>
    <t>Muro lateral (ao lado do forum)</t>
  </si>
  <si>
    <t>Muro lateral (ao lado das casas)</t>
  </si>
  <si>
    <t>PISO/PASSEIO</t>
  </si>
  <si>
    <t>EXECUÇÃO DE PAVIMENTO EM PISO INTERTRAVADO, COM BLOCO RETANGULAR DE 20X 10 CM, ESPESSURA 10 CM. AF_10/2022</t>
  </si>
  <si>
    <t xml:space="preserve">	Grade de ferro composta de barras verticais quadradas 1/2" cada 12,5cm, soldadas em quatro barras chata horizontais 1 1/2" x 3/16" (2 + 2) montantes em perfil UDC simples 75 x 38 x 2,65mm - Fornecimento e instalação</t>
  </si>
  <si>
    <t xml:space="preserve">	Grade de ferro composta de barras verticais quadradas 1/2" cada 12,5cm, soldadas em quatro barras chata horizontais 1 1/2" x 3/16" (2 + 2) montantes em perfil UDC simples 75 x 38 x 2,65mm</t>
  </si>
  <si>
    <t>07324</t>
  </si>
  <si>
    <t>ORSE</t>
  </si>
  <si>
    <t>I2391</t>
  </si>
  <si>
    <t>PEDREIRO</t>
  </si>
  <si>
    <t>I2543</t>
  </si>
  <si>
    <t>SERVENTE</t>
  </si>
  <si>
    <t>C0170</t>
  </si>
  <si>
    <t>ARGAMASSA DE CIMENTO E AREIA S/PEN. TRAÇO 1:3</t>
  </si>
  <si>
    <t xml:space="preserve">*FONTE DA COMPOSIÇÃO SEINFRA C3681 </t>
  </si>
  <si>
    <t>*FONTE DA COMPOSIÇÃO SINAPI 97635</t>
  </si>
  <si>
    <t>88260</t>
  </si>
  <si>
    <t>CALCETEIRO COM ENCARGOS COMPLEMENTARES</t>
  </si>
  <si>
    <t>SERVENTE COM ENCARGOS COMPLEMENTARES</t>
  </si>
  <si>
    <t>DEMOLIÇÃO DE PAVIMENTO INTERTRAVADO, DE FORMA MANUAL, SEM REAPROVEITAMENTO</t>
  </si>
  <si>
    <t>COMP-004</t>
  </si>
  <si>
    <t>2.4</t>
  </si>
  <si>
    <t>Muro frontal (de frente para a academia da cidade)</t>
  </si>
  <si>
    <t>Muro traseiro (de frente para a barbearia)</t>
  </si>
  <si>
    <t>Muro antigo (exceto o muro colado com as casas)</t>
  </si>
  <si>
    <t>Muros laterais e traseiro</t>
  </si>
  <si>
    <t>Muro frontal</t>
  </si>
  <si>
    <t>Portão traseiro (de frente para a barbearia)</t>
  </si>
  <si>
    <t>Portão frontal (de frente para a academia da cidade)</t>
  </si>
  <si>
    <t>Calçada traseira (lado da barbearia)</t>
  </si>
  <si>
    <t>Calçada frontal (lado da academia da cidade)</t>
  </si>
  <si>
    <t>11.0</t>
  </si>
  <si>
    <t>11.1</t>
  </si>
  <si>
    <t>COTAÇÃO</t>
  </si>
  <si>
    <t>COMP-005</t>
  </si>
  <si>
    <t>LETREIRO EM ACM- FORNECIMENTO E INSTALAÇÃO</t>
  </si>
  <si>
    <t>LETREIRO EM ACM - FORNECIMENTO E INSTALAÇÃO</t>
  </si>
  <si>
    <t>un</t>
  </si>
  <si>
    <t>OUTROS SERVIÇOS</t>
  </si>
  <si>
    <t>8.3</t>
  </si>
  <si>
    <t>APLICAÇÃO MANUAL DE MASSA ACRÍLICA EM PAREDES EXTERNAS DE CASAS, DUAS DEMÃOS. AF_05/2017</t>
  </si>
  <si>
    <t>C3022</t>
  </si>
  <si>
    <t>PINTURA ESMALTE SINTÉTICO EM PAREDES</t>
  </si>
  <si>
    <t>4.6</t>
  </si>
  <si>
    <t>Muro - Cinta 20x30 - armação inferior - 2Ø10 mm - armação inferior - 2Ø10 mm - armação superior  - 2Ø10 mm</t>
  </si>
  <si>
    <t>4.7</t>
  </si>
  <si>
    <t>ARMAÇÃO DE PILAR OU VIGA DE ESTRUTURA DE CONCRETO ARMADO EMBUTIDA EM ALVENARIA DE VEDAÇÃO UTILIZANDO AÇO CA-60 DE 5,0 MM - MONTAGEM. AF_06/2022</t>
  </si>
  <si>
    <t>Muro - Viga 20x30 - armação inferior - 2Ø10 mm - armação inferior - 2Ø10 mm - armação superior  - 2Ø10 mm</t>
  </si>
  <si>
    <t>Muro - Viga 12x40 - estribos - Ø5,0 mm c/ 13cm</t>
  </si>
  <si>
    <t>Muro - Viga 12x40</t>
  </si>
  <si>
    <t>CONCRETAGEM DE VIGAS E LAJES, FCK=25 MPA, PARA QUALQUER TIPO DE LAJE COM BALDES EM EDIFICAÇÃO TÉRREA - LANÇAMENTO, ADENSAMENTO E ACABAMENTO. AF_02/2022</t>
  </si>
  <si>
    <t>4.8</t>
  </si>
  <si>
    <t>MONTAGEM E DESMONTAGEM DE FÔRMA DE VIGA, ESCORAMENTO COM PONTALETE DE MADEIRA, PÉ-DIREITO SIMPLES, EM MADEIRA SERRADA, 4 UTILIZAÇÕES. AF_09/2020</t>
  </si>
  <si>
    <t>C2316</t>
  </si>
  <si>
    <t xml:space="preserve">TAPUME DE CHAPA DE MADEIRA COMPENSADA E= 6mm C/ABERTURA E PORTÃO </t>
  </si>
  <si>
    <t>1.2</t>
  </si>
  <si>
    <t>DATA: JULHO/2023</t>
  </si>
  <si>
    <t>Pilares 12x25 - Estribos Ø6,3 mm c/15cm - L=80 cm</t>
  </si>
  <si>
    <t>Incluindo os pilares para juntas de dilatação</t>
  </si>
  <si>
    <t>Muro frontal (de frente para a academia da cidade) 1 junta de dilatação a cada 15m, totalizando 2 juntas</t>
  </si>
  <si>
    <t>Muro traseiro (de frente para a barbearia) 1 junta de dilatação a cada 14m, totalizando 2 juntas</t>
  </si>
  <si>
    <t>Muro lateral (ao lado do forum) 1 junta de dilatação a cada 17m, totalizando 3 juntas</t>
  </si>
  <si>
    <t>Muro lateral (ao lado das casas) 1 junta de dilatação a cada 18m, totalizando 3 juntas</t>
  </si>
  <si>
    <t>9.3</t>
  </si>
  <si>
    <t>INSTALAÇÃO DE PERGOLADO DE MADEIRA, EM MAÇARANDUBA, ANGELIM OU EQUIVALENTE DA REGIÃO, FIXADO COM CONCRETO SOBRE PISO DE CONCRETO EXISTENTE. AF_11/2021</t>
  </si>
  <si>
    <t>9.4</t>
  </si>
  <si>
    <t>C0769</t>
  </si>
  <si>
    <t>CHAPA POLICARBONATO ALVEOLAR CRISTAL ESP.= 6mm</t>
  </si>
  <si>
    <t>00.776.574/0006-60</t>
  </si>
  <si>
    <t>QUADRO ESCOLAR BRANCO, DIMENSÕES 250X120CM</t>
  </si>
  <si>
    <t xml:space="preserve"> 03.007.331/0001-41</t>
  </si>
  <si>
    <t>33.041.260/0652-90</t>
  </si>
  <si>
    <t>COMP-006</t>
  </si>
  <si>
    <t>QUADRO ESCOLAR BRANCO, DIMENSÕES 250X120CM - FORNECIMENTO E INSTALAÇÃO</t>
  </si>
  <si>
    <t>1</t>
  </si>
  <si>
    <t>H</t>
  </si>
  <si>
    <t>88239</t>
  </si>
  <si>
    <t xml:space="preserve">AJUDANTE DE CARPINTEIRO COM ENCARGOS COMPLEMENTARES </t>
  </si>
  <si>
    <t>88261</t>
  </si>
  <si>
    <t>CARPINTEIRO DE ESQUADRIA COM ENCARGOS COMPLEMENTARES</t>
  </si>
  <si>
    <t>9.5</t>
  </si>
  <si>
    <t>COMP-06</t>
  </si>
  <si>
    <t>Salas de aula e laboratório de informática</t>
  </si>
  <si>
    <t xml:space="preserve"> 12.641.186/0001-47</t>
  </si>
  <si>
    <t>ACM PLACAS</t>
  </si>
  <si>
    <t>ASSIS PLACAS</t>
  </si>
  <si>
    <t>Área em frente ao palco</t>
  </si>
  <si>
    <t>Área do refeitório (em frente à cozinha)</t>
  </si>
  <si>
    <t>COMP-007</t>
  </si>
  <si>
    <t>02</t>
  </si>
  <si>
    <t>03</t>
  </si>
  <si>
    <t>COTAÇÃO 3</t>
  </si>
  <si>
    <t>02.206.577/0001-80</t>
  </si>
  <si>
    <t>Magazine Luiza</t>
  </si>
  <si>
    <t>Lojas Americanas</t>
  </si>
  <si>
    <t>Mercado Livre</t>
  </si>
  <si>
    <t>Casas Bahia</t>
  </si>
  <si>
    <t>15.436.940/0001-03</t>
  </si>
  <si>
    <t>Amazon Serviços de Varejo do Brasil LTDA</t>
  </si>
  <si>
    <t>Ferreira Costa &amp; Cia LTDA</t>
  </si>
  <si>
    <t>10.230.480/0019-60</t>
  </si>
  <si>
    <t>Verniz Marítimo Brilhante - Natural</t>
  </si>
  <si>
    <t>I0035</t>
  </si>
  <si>
    <t>AGUARRAZ MINERAL</t>
  </si>
  <si>
    <t>I1347</t>
  </si>
  <si>
    <t>LIXA PARA MADEIRA/MASSA</t>
  </si>
  <si>
    <t>I0045</t>
  </si>
  <si>
    <t>AJUDANTE DE PINTOR</t>
  </si>
  <si>
    <t>I2395</t>
  </si>
  <si>
    <t>PINTOR</t>
  </si>
  <si>
    <t>8.4</t>
  </si>
  <si>
    <t>VERNIZ MARÍTIMO 3 DEMÃOS EM ESQUADRIAS DE MADEIRA</t>
  </si>
  <si>
    <t>Pergolado</t>
  </si>
  <si>
    <t>Muro - Cinta 20x30 - estribos - Ø6,3 mm c/ 15cm</t>
  </si>
  <si>
    <t>Muro frontal - incluindo parte superior</t>
  </si>
  <si>
    <t>9.6</t>
  </si>
  <si>
    <t>ALAMBRADO PARA QUADRA POLIESPORTIVA, ESTRUTURADO POR TUBOS DE ACO GALVANIZADO, (MONTANTES COM DIAMETRO 2", TRAVESSAS E ESCORAS COM DIÂMETRO 1 ¼), COM TELA DE ARAME GALVANIZADO, FIO 12 BWG E MALHA QUADRADA 5X5CM (EXCETO MURETA). AF_03/2021</t>
  </si>
  <si>
    <t>Área de esportes</t>
  </si>
  <si>
    <r>
      <t xml:space="preserve">FONTES DE PREÇOS: SINAPI JUNHO-2023 -  SEINFRA 027 MARÇO/2021 - </t>
    </r>
    <r>
      <rPr>
        <b/>
        <u/>
        <sz val="8"/>
        <rFont val="Arial"/>
        <family val="2"/>
      </rPr>
      <t>SEM</t>
    </r>
    <r>
      <rPr>
        <b/>
        <sz val="8"/>
        <rFont val="Arial"/>
        <family val="2"/>
      </rPr>
      <t xml:space="preserve"> DESONERAÇÃO (BDI = 24,20%)</t>
    </r>
  </si>
  <si>
    <t>FONTES DE PREÇOS: SINAPI JUNHO-2023 / SEINFRA 027 MARÇO-2021</t>
  </si>
  <si>
    <t>PAVIMENTAÇÃO</t>
  </si>
  <si>
    <t>11.2</t>
  </si>
  <si>
    <t>PLANTIO DE GRAMA ESMERALDA OU SÃO CARLOS OU CURITIBANA, EM PLACAS. AF_ 05/2022</t>
  </si>
  <si>
    <t>Pilar complemento coberta frontal para colocação de pergolado</t>
  </si>
  <si>
    <t>Sapata para pilar complemento coberta frontal para colocação de pergolado</t>
  </si>
  <si>
    <t>Viga complemento coberta frontal para colocação de pergolado</t>
  </si>
  <si>
    <t>Alvenaria complemento coberta frontal para colocação de pergolado</t>
  </si>
  <si>
    <t>Complemento coberta frontal para colocação de pergolado</t>
  </si>
  <si>
    <t>Complemento coberta frontal para colocação de pergolado (frontal)</t>
  </si>
  <si>
    <t>Complemento coberta frontal para colocação de pergolado (parte de trás)</t>
  </si>
  <si>
    <t>7.5</t>
  </si>
  <si>
    <t>REVESTIMENTO CERÂMICO PARA PAREDES INTERNAS COM PLACAS TIPO ESMALTADA EXTRA DE DIMENSÕES 33X45 CM APLICADAS A MEIA ALTURA DAS PAREDES. AF_02/2023_PE</t>
  </si>
  <si>
    <t>11.3</t>
  </si>
  <si>
    <t>PLANTIO DE ÁRVORE ORNAMENTAL COM ALTURA DE MUDA MENOR OU IGUAL A 2,00 M. AF_05/2018</t>
  </si>
  <si>
    <t>Área de entrada</t>
  </si>
  <si>
    <t>LCR PLACAS</t>
  </si>
  <si>
    <t>44.649.471/0001-09</t>
  </si>
  <si>
    <t>05.433.101/0001-70</t>
  </si>
  <si>
    <t>FONTES DE PREÇOS: SINAPI JUNHO-2023 -  SEINFRA 027 MARÇO/2021</t>
  </si>
  <si>
    <t>RECONSTRUÇÃO DO MURO E SERVIÇOS COMPLEMENTARES DA ESCOLA OTAVIANO BASÍLIO HERÁCLIO DO RÊGO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</si>
</sst>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* #,##0.00_);_(* \(#,##0.00\);_(* \-??_);_(@_)"/>
    <numFmt numFmtId="167" formatCode="_ &quot;R$&quot;\ * #,##0.00_ ;_ &quot;R$&quot;\ * \-#,##0.00_ ;_ &quot;R$&quot;\ * &quot;-&quot;??_ ;_ @_ "/>
    <numFmt numFmtId="168" formatCode="_ * #,##0.00_ ;_ * \-#,##0.00_ ;_ * &quot;-&quot;??_ ;_ @_ "/>
    <numFmt numFmtId="169" formatCode="#,##0.00_ ;[Red]\-#,##0.00\ "/>
    <numFmt numFmtId="170" formatCode="0000"/>
    <numFmt numFmtId="171" formatCode="0.000"/>
    <numFmt numFmtId="172" formatCode="_(* #,##0.0000_);_(* \(#,##0.0000\);_(* &quot;-&quot;??_);_(@_)"/>
    <numFmt numFmtId="173" formatCode="0.0%"/>
    <numFmt numFmtId="174" formatCode="0.0"/>
    <numFmt numFmtId="175" formatCode="#,##0.000"/>
  </numFmts>
  <fonts count="4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8"/>
      <color rgb="FFFF0000"/>
      <name val="Arial"/>
      <family val="2"/>
    </font>
    <font>
      <b/>
      <sz val="8"/>
      <color rgb="FFFF0000"/>
      <name val="Arial"/>
      <family val="2"/>
    </font>
    <font>
      <sz val="10"/>
      <color indexed="8"/>
      <name val="MS Sans Serif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sz val="11"/>
      <name val="Arial"/>
      <family val="2"/>
    </font>
    <font>
      <sz val="10"/>
      <color rgb="FFFF0000"/>
      <name val="Arial"/>
      <family val="2"/>
    </font>
    <font>
      <b/>
      <sz val="11"/>
      <color rgb="FFFF0000"/>
      <name val="Arial"/>
      <family val="2"/>
    </font>
    <font>
      <b/>
      <sz val="12"/>
      <name val="Calibri"/>
      <family val="2"/>
      <scheme val="minor"/>
    </font>
    <font>
      <b/>
      <sz val="10"/>
      <color rgb="FFFF0000"/>
      <name val="Arial"/>
      <family val="2"/>
    </font>
    <font>
      <b/>
      <sz val="14"/>
      <name val="Arial"/>
      <family val="2"/>
    </font>
    <font>
      <sz val="10"/>
      <color theme="1"/>
      <name val="Arial"/>
      <family val="2"/>
    </font>
    <font>
      <b/>
      <u/>
      <sz val="14"/>
      <color theme="1"/>
      <name val="Arial"/>
      <family val="2"/>
    </font>
    <font>
      <sz val="8"/>
      <color theme="1"/>
      <name val="Arial"/>
      <family val="2"/>
    </font>
    <font>
      <b/>
      <u/>
      <sz val="8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i/>
      <sz val="10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4"/>
      <name val="Arial"/>
      <family val="2"/>
    </font>
    <font>
      <b/>
      <sz val="15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b/>
      <u/>
      <sz val="8"/>
      <name val="Arial"/>
      <family val="2"/>
    </font>
    <font>
      <i/>
      <sz val="8"/>
      <name val="Arial"/>
      <family val="2"/>
    </font>
    <font>
      <b/>
      <sz val="8"/>
      <color theme="0"/>
      <name val="Arial"/>
      <family val="2"/>
    </font>
    <font>
      <b/>
      <sz val="12"/>
      <color theme="0"/>
      <name val="Arial"/>
      <family val="2"/>
    </font>
    <font>
      <b/>
      <sz val="11"/>
      <color theme="0"/>
      <name val="Arial"/>
      <family val="2"/>
    </font>
    <font>
      <b/>
      <sz val="11"/>
      <color rgb="FFFF0000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22"/>
        <bgColor indexed="64"/>
      </patternFill>
    </fill>
  </fills>
  <borders count="5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tted">
        <color auto="1"/>
      </left>
      <right/>
      <top style="dotted">
        <color auto="1"/>
      </top>
      <bottom/>
      <diagonal/>
    </border>
    <border>
      <left/>
      <right/>
      <top style="dotted">
        <color auto="1"/>
      </top>
      <bottom/>
      <diagonal/>
    </border>
    <border>
      <left/>
      <right style="dotted">
        <color auto="1"/>
      </right>
      <top style="dotted">
        <color auto="1"/>
      </top>
      <bottom/>
      <diagonal/>
    </border>
    <border>
      <left style="dotted">
        <color auto="1"/>
      </left>
      <right/>
      <top/>
      <bottom/>
      <diagonal/>
    </border>
    <border>
      <left/>
      <right style="dotted">
        <color auto="1"/>
      </right>
      <top/>
      <bottom/>
      <diagonal/>
    </border>
    <border>
      <left style="dotted">
        <color auto="1"/>
      </left>
      <right/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/>
      <right style="dotted">
        <color auto="1"/>
      </right>
      <top/>
      <bottom style="dotted">
        <color auto="1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59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7" fillId="0" borderId="0"/>
    <xf numFmtId="165" fontId="2" fillId="0" borderId="0" applyFont="0" applyFill="0" applyBorder="0" applyAlignment="0" applyProtection="0"/>
    <xf numFmtId="0" fontId="7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5" fontId="2" fillId="0" borderId="0" applyFill="0" applyBorder="0" applyAlignment="0" applyProtection="0"/>
    <xf numFmtId="164" fontId="2" fillId="0" borderId="0" applyFont="0" applyFill="0" applyBorder="0" applyAlignment="0" applyProtection="0"/>
    <xf numFmtId="0" fontId="10" fillId="0" borderId="0"/>
    <xf numFmtId="166" fontId="2" fillId="0" borderId="0" applyFill="0" applyBorder="0" applyAlignment="0" applyProtection="0"/>
    <xf numFmtId="0" fontId="2" fillId="0" borderId="0"/>
    <xf numFmtId="4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4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8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6" fontId="2" fillId="0" borderId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7" fillId="0" borderId="0"/>
    <xf numFmtId="165" fontId="2" fillId="0" borderId="0" applyFill="0" applyBorder="0" applyAlignment="0" applyProtection="0"/>
  </cellStyleXfs>
  <cellXfs count="355">
    <xf numFmtId="0" fontId="0" fillId="0" borderId="0" xfId="0"/>
    <xf numFmtId="0" fontId="4" fillId="0" borderId="1" xfId="2" applyFont="1" applyBorder="1" applyAlignment="1">
      <alignment horizontal="center" vertical="center"/>
    </xf>
    <xf numFmtId="0" fontId="2" fillId="0" borderId="0" xfId="0" applyFont="1"/>
    <xf numFmtId="0" fontId="16" fillId="0" borderId="0" xfId="0" applyFont="1"/>
    <xf numFmtId="0" fontId="5" fillId="0" borderId="0" xfId="0" applyFont="1"/>
    <xf numFmtId="0" fontId="23" fillId="0" borderId="0" xfId="0" applyFont="1"/>
    <xf numFmtId="0" fontId="23" fillId="0" borderId="0" xfId="0" applyFont="1" applyAlignment="1">
      <alignment horizontal="center"/>
    </xf>
    <xf numFmtId="0" fontId="25" fillId="0" borderId="0" xfId="0" applyFont="1"/>
    <xf numFmtId="0" fontId="26" fillId="0" borderId="0" xfId="0" applyFont="1" applyAlignment="1">
      <alignment horizontal="center"/>
    </xf>
    <xf numFmtId="0" fontId="27" fillId="0" borderId="0" xfId="0" applyFont="1" applyAlignment="1">
      <alignment horizontal="center" wrapText="1"/>
    </xf>
    <xf numFmtId="0" fontId="28" fillId="0" borderId="0" xfId="0" applyFont="1"/>
    <xf numFmtId="0" fontId="28" fillId="0" borderId="0" xfId="0" applyFont="1" applyAlignment="1">
      <alignment horizontal="center"/>
    </xf>
    <xf numFmtId="0" fontId="28" fillId="0" borderId="5" xfId="0" applyFont="1" applyBorder="1" applyAlignment="1">
      <alignment horizontal="left"/>
    </xf>
    <xf numFmtId="0" fontId="29" fillId="0" borderId="13" xfId="0" applyFont="1" applyBorder="1"/>
    <xf numFmtId="0" fontId="29" fillId="0" borderId="13" xfId="0" applyFont="1" applyBorder="1" applyAlignment="1">
      <alignment horizontal="center"/>
    </xf>
    <xf numFmtId="0" fontId="29" fillId="0" borderId="5" xfId="0" applyFont="1" applyBorder="1"/>
    <xf numFmtId="0" fontId="29" fillId="0" borderId="5" xfId="0" applyFont="1" applyBorder="1" applyAlignment="1">
      <alignment horizontal="center"/>
    </xf>
    <xf numFmtId="10" fontId="15" fillId="3" borderId="5" xfId="1" applyNumberFormat="1" applyFont="1" applyFill="1" applyBorder="1" applyAlignment="1">
      <alignment horizontal="center"/>
    </xf>
    <xf numFmtId="0" fontId="23" fillId="0" borderId="5" xfId="0" applyFont="1" applyBorder="1"/>
    <xf numFmtId="2" fontId="19" fillId="0" borderId="5" xfId="0" applyNumberFormat="1" applyFont="1" applyBorder="1" applyAlignment="1">
      <alignment horizontal="center"/>
    </xf>
    <xf numFmtId="10" fontId="19" fillId="0" borderId="5" xfId="1" applyNumberFormat="1" applyFont="1" applyBorder="1" applyAlignment="1">
      <alignment horizontal="center"/>
    </xf>
    <xf numFmtId="0" fontId="29" fillId="0" borderId="5" xfId="19" applyFont="1" applyBorder="1"/>
    <xf numFmtId="0" fontId="29" fillId="0" borderId="5" xfId="19" applyFont="1" applyBorder="1" applyAlignment="1">
      <alignment horizontal="center"/>
    </xf>
    <xf numFmtId="10" fontId="15" fillId="3" borderId="5" xfId="36" applyNumberFormat="1" applyFont="1" applyFill="1" applyBorder="1" applyAlignment="1">
      <alignment horizontal="center"/>
    </xf>
    <xf numFmtId="10" fontId="15" fillId="0" borderId="5" xfId="1" applyNumberFormat="1" applyFont="1" applyBorder="1" applyAlignment="1">
      <alignment horizontal="center"/>
    </xf>
    <xf numFmtId="171" fontId="30" fillId="0" borderId="0" xfId="0" applyNumberFormat="1" applyFont="1" applyAlignment="1">
      <alignment horizontal="left"/>
    </xf>
    <xf numFmtId="10" fontId="15" fillId="0" borderId="13" xfId="1" applyNumberFormat="1" applyFont="1" applyFill="1" applyBorder="1" applyAlignment="1">
      <alignment horizontal="center"/>
    </xf>
    <xf numFmtId="0" fontId="29" fillId="6" borderId="11" xfId="0" applyFont="1" applyFill="1" applyBorder="1"/>
    <xf numFmtId="0" fontId="31" fillId="6" borderId="12" xfId="0" applyFont="1" applyFill="1" applyBorder="1" applyAlignment="1">
      <alignment horizontal="center"/>
    </xf>
    <xf numFmtId="0" fontId="21" fillId="0" borderId="0" xfId="0" applyFont="1"/>
    <xf numFmtId="0" fontId="18" fillId="0" borderId="0" xfId="0" applyFont="1" applyAlignment="1">
      <alignment horizontal="center"/>
    </xf>
    <xf numFmtId="0" fontId="32" fillId="0" borderId="0" xfId="0" applyFont="1"/>
    <xf numFmtId="0" fontId="31" fillId="0" borderId="30" xfId="0" applyFont="1" applyBorder="1"/>
    <xf numFmtId="0" fontId="31" fillId="0" borderId="31" xfId="0" applyFont="1" applyBorder="1" applyAlignment="1">
      <alignment horizontal="center"/>
    </xf>
    <xf numFmtId="0" fontId="31" fillId="0" borderId="32" xfId="0" applyFont="1" applyBorder="1" applyAlignment="1">
      <alignment horizontal="center"/>
    </xf>
    <xf numFmtId="0" fontId="31" fillId="0" borderId="0" xfId="0" applyFont="1"/>
    <xf numFmtId="0" fontId="31" fillId="0" borderId="33" xfId="0" applyFont="1" applyBorder="1"/>
    <xf numFmtId="0" fontId="31" fillId="0" borderId="0" xfId="0" applyFont="1" applyAlignment="1">
      <alignment horizontal="center"/>
    </xf>
    <xf numFmtId="0" fontId="31" fillId="0" borderId="34" xfId="0" applyFont="1" applyBorder="1" applyAlignment="1">
      <alignment horizontal="center"/>
    </xf>
    <xf numFmtId="0" fontId="31" fillId="0" borderId="35" xfId="0" applyFont="1" applyBorder="1"/>
    <xf numFmtId="0" fontId="31" fillId="0" borderId="36" xfId="0" applyFont="1" applyBorder="1" applyAlignment="1">
      <alignment horizontal="center"/>
    </xf>
    <xf numFmtId="0" fontId="31" fillId="0" borderId="37" xfId="0" applyFont="1" applyBorder="1" applyAlignment="1">
      <alignment horizontal="center"/>
    </xf>
    <xf numFmtId="0" fontId="29" fillId="0" borderId="0" xfId="0" applyFont="1"/>
    <xf numFmtId="0" fontId="31" fillId="0" borderId="0" xfId="6" applyFont="1"/>
    <xf numFmtId="0" fontId="12" fillId="0" borderId="0" xfId="0" applyFont="1"/>
    <xf numFmtId="0" fontId="5" fillId="0" borderId="1" xfId="0" applyFont="1" applyBorder="1"/>
    <xf numFmtId="0" fontId="4" fillId="3" borderId="1" xfId="0" applyFont="1" applyFill="1" applyBorder="1" applyAlignment="1">
      <alignment horizontal="center"/>
    </xf>
    <xf numFmtId="4" fontId="5" fillId="0" borderId="1" xfId="2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5" fillId="9" borderId="1" xfId="0" applyFont="1" applyFill="1" applyBorder="1"/>
    <xf numFmtId="0" fontId="12" fillId="0" borderId="1" xfId="0" applyFont="1" applyBorder="1"/>
    <xf numFmtId="0" fontId="13" fillId="2" borderId="1" xfId="2" applyFont="1" applyFill="1" applyBorder="1" applyAlignment="1">
      <alignment horizontal="center" vertical="center"/>
    </xf>
    <xf numFmtId="4" fontId="13" fillId="2" borderId="1" xfId="2" applyNumberFormat="1" applyFont="1" applyFill="1" applyBorder="1" applyAlignment="1">
      <alignment horizontal="center" vertical="center"/>
    </xf>
    <xf numFmtId="0" fontId="13" fillId="2" borderId="1" xfId="0" applyFont="1" applyFill="1" applyBorder="1"/>
    <xf numFmtId="165" fontId="12" fillId="0" borderId="0" xfId="0" applyNumberFormat="1" applyFont="1"/>
    <xf numFmtId="0" fontId="13" fillId="11" borderId="1" xfId="2" applyFont="1" applyFill="1" applyBorder="1" applyAlignment="1">
      <alignment horizontal="justify" vertical="justify"/>
    </xf>
    <xf numFmtId="0" fontId="2" fillId="7" borderId="1" xfId="0" applyFont="1" applyFill="1" applyBorder="1"/>
    <xf numFmtId="0" fontId="19" fillId="5" borderId="5" xfId="0" applyFont="1" applyFill="1" applyBorder="1"/>
    <xf numFmtId="0" fontId="19" fillId="5" borderId="5" xfId="0" applyFont="1" applyFill="1" applyBorder="1" applyAlignment="1">
      <alignment horizontal="center"/>
    </xf>
    <xf numFmtId="10" fontId="19" fillId="5" borderId="5" xfId="1" applyNumberFormat="1" applyFont="1" applyFill="1" applyBorder="1" applyAlignment="1">
      <alignment horizontal="center"/>
    </xf>
    <xf numFmtId="0" fontId="18" fillId="5" borderId="0" xfId="0" applyFont="1" applyFill="1"/>
    <xf numFmtId="4" fontId="5" fillId="0" borderId="22" xfId="2" applyNumberFormat="1" applyFont="1" applyBorder="1" applyAlignment="1">
      <alignment horizontal="center" vertical="center"/>
    </xf>
    <xf numFmtId="0" fontId="4" fillId="0" borderId="22" xfId="2" applyFont="1" applyBorder="1" applyAlignment="1">
      <alignment horizontal="center" vertical="center"/>
    </xf>
    <xf numFmtId="0" fontId="17" fillId="2" borderId="1" xfId="0" applyFont="1" applyFill="1" applyBorder="1"/>
    <xf numFmtId="0" fontId="4" fillId="0" borderId="1" xfId="2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top" wrapText="1"/>
    </xf>
    <xf numFmtId="0" fontId="5" fillId="0" borderId="1" xfId="0" applyFont="1" applyBorder="1" applyAlignment="1">
      <alignment horizontal="left"/>
    </xf>
    <xf numFmtId="0" fontId="5" fillId="0" borderId="1" xfId="2" applyFont="1" applyBorder="1" applyAlignment="1">
      <alignment horizontal="center"/>
    </xf>
    <xf numFmtId="0" fontId="5" fillId="7" borderId="1" xfId="0" applyFont="1" applyFill="1" applyBorder="1"/>
    <xf numFmtId="4" fontId="5" fillId="0" borderId="1" xfId="2" applyNumberFormat="1" applyFont="1" applyBorder="1" applyAlignment="1">
      <alignment horizontal="center"/>
    </xf>
    <xf numFmtId="0" fontId="9" fillId="8" borderId="1" xfId="0" applyFont="1" applyFill="1" applyBorder="1" applyAlignment="1">
      <alignment horizontal="center"/>
    </xf>
    <xf numFmtId="0" fontId="4" fillId="0" borderId="1" xfId="2" applyFont="1" applyBorder="1" applyAlignment="1">
      <alignment horizontal="center" vertical="top"/>
    </xf>
    <xf numFmtId="4" fontId="4" fillId="0" borderId="1" xfId="2" applyNumberFormat="1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8" fillId="2" borderId="1" xfId="0" applyFont="1" applyFill="1" applyBorder="1"/>
    <xf numFmtId="43" fontId="8" fillId="0" borderId="1" xfId="55" applyFont="1" applyFill="1" applyBorder="1"/>
    <xf numFmtId="0" fontId="8" fillId="0" borderId="1" xfId="0" applyFont="1" applyBorder="1"/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justify" vertical="justify"/>
    </xf>
    <xf numFmtId="4" fontId="5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right" vertical="center"/>
    </xf>
    <xf numFmtId="0" fontId="12" fillId="0" borderId="1" xfId="0" applyFont="1" applyBorder="1" applyAlignment="1">
      <alignment horizontal="left"/>
    </xf>
    <xf numFmtId="10" fontId="4" fillId="0" borderId="1" xfId="1" applyNumberFormat="1" applyFont="1" applyBorder="1" applyAlignment="1" applyProtection="1">
      <alignment horizontal="center" vertical="center"/>
      <protection locked="0"/>
    </xf>
    <xf numFmtId="169" fontId="4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justify" vertical="justify"/>
    </xf>
    <xf numFmtId="9" fontId="12" fillId="0" borderId="1" xfId="1" applyFont="1" applyFill="1" applyBorder="1" applyAlignment="1">
      <alignment horizontal="left"/>
    </xf>
    <xf numFmtId="0" fontId="4" fillId="0" borderId="1" xfId="2" applyFont="1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11" fillId="0" borderId="1" xfId="2" applyFont="1" applyBorder="1" applyAlignment="1">
      <alignment horizontal="left"/>
    </xf>
    <xf numFmtId="0" fontId="6" fillId="0" borderId="1" xfId="2" applyFont="1" applyBorder="1"/>
    <xf numFmtId="0" fontId="9" fillId="2" borderId="1" xfId="0" applyFont="1" applyFill="1" applyBorder="1"/>
    <xf numFmtId="0" fontId="9" fillId="0" borderId="1" xfId="0" applyFont="1" applyBorder="1"/>
    <xf numFmtId="0" fontId="9" fillId="8" borderId="1" xfId="0" applyFont="1" applyFill="1" applyBorder="1"/>
    <xf numFmtId="43" fontId="8" fillId="0" borderId="1" xfId="55" applyFont="1" applyFill="1" applyBorder="1" applyAlignment="1">
      <alignment horizontal="right"/>
    </xf>
    <xf numFmtId="43" fontId="8" fillId="0" borderId="1" xfId="55" applyFont="1" applyFill="1" applyBorder="1" applyAlignment="1">
      <alignment horizontal="center"/>
    </xf>
    <xf numFmtId="173" fontId="8" fillId="0" borderId="1" xfId="1" applyNumberFormat="1" applyFont="1" applyFill="1" applyBorder="1"/>
    <xf numFmtId="0" fontId="3" fillId="0" borderId="1" xfId="2" applyFont="1" applyBorder="1" applyAlignment="1">
      <alignment horizontal="justify" vertical="justify" wrapText="1"/>
    </xf>
    <xf numFmtId="0" fontId="5" fillId="0" borderId="0" xfId="0" applyFont="1" applyAlignment="1">
      <alignment horizontal="center" vertical="justify"/>
    </xf>
    <xf numFmtId="0" fontId="12" fillId="0" borderId="38" xfId="0" applyFont="1" applyBorder="1" applyAlignment="1">
      <alignment horizontal="center" vertical="center"/>
    </xf>
    <xf numFmtId="0" fontId="12" fillId="0" borderId="38" xfId="0" applyFont="1" applyBorder="1" applyAlignment="1">
      <alignment horizontal="center" vertical="center" wrapText="1"/>
    </xf>
    <xf numFmtId="0" fontId="12" fillId="0" borderId="38" xfId="0" applyFont="1" applyBorder="1" applyAlignment="1">
      <alignment horizontal="justify" vertical="justify"/>
    </xf>
    <xf numFmtId="0" fontId="12" fillId="0" borderId="38" xfId="0" applyFont="1" applyBorder="1" applyAlignment="1">
      <alignment horizontal="left"/>
    </xf>
    <xf numFmtId="0" fontId="12" fillId="0" borderId="40" xfId="0" applyFont="1" applyBorder="1" applyAlignment="1">
      <alignment horizontal="center" vertical="center"/>
    </xf>
    <xf numFmtId="0" fontId="34" fillId="0" borderId="1" xfId="0" applyFont="1" applyBorder="1" applyAlignment="1">
      <alignment horizontal="center" vertical="center"/>
    </xf>
    <xf numFmtId="0" fontId="2" fillId="0" borderId="1" xfId="0" applyFont="1" applyBorder="1"/>
    <xf numFmtId="0" fontId="6" fillId="0" borderId="1" xfId="2" applyFont="1" applyBorder="1" applyAlignment="1">
      <alignment horizontal="left" vertical="center"/>
    </xf>
    <xf numFmtId="9" fontId="18" fillId="0" borderId="1" xfId="1" applyFont="1" applyFill="1" applyBorder="1" applyAlignment="1">
      <alignment horizontal="left"/>
    </xf>
    <xf numFmtId="4" fontId="3" fillId="0" borderId="1" xfId="2" applyNumberFormat="1" applyFont="1" applyBorder="1" applyAlignment="1">
      <alignment horizontal="center" vertical="center"/>
    </xf>
    <xf numFmtId="173" fontId="3" fillId="0" borderId="1" xfId="1" applyNumberFormat="1" applyFont="1" applyFill="1" applyBorder="1" applyAlignment="1">
      <alignment horizontal="center" vertical="center"/>
    </xf>
    <xf numFmtId="43" fontId="5" fillId="0" borderId="1" xfId="55" applyFont="1" applyFill="1" applyBorder="1" applyAlignment="1">
      <alignment horizontal="center" vertical="center"/>
    </xf>
    <xf numFmtId="9" fontId="13" fillId="2" borderId="1" xfId="1" applyFont="1" applyFill="1" applyBorder="1" applyAlignment="1">
      <alignment horizontal="left"/>
    </xf>
    <xf numFmtId="0" fontId="6" fillId="0" borderId="1" xfId="2" applyFont="1" applyBorder="1" applyAlignment="1">
      <alignment horizontal="center" vertical="center"/>
    </xf>
    <xf numFmtId="4" fontId="5" fillId="0" borderId="1" xfId="0" applyNumberFormat="1" applyFont="1" applyBorder="1"/>
    <xf numFmtId="4" fontId="4" fillId="12" borderId="1" xfId="2" applyNumberFormat="1" applyFont="1" applyFill="1" applyBorder="1" applyAlignment="1">
      <alignment horizontal="center"/>
    </xf>
    <xf numFmtId="0" fontId="4" fillId="12" borderId="1" xfId="2" applyFont="1" applyFill="1" applyBorder="1" applyAlignment="1">
      <alignment horizontal="center" vertical="top"/>
    </xf>
    <xf numFmtId="0" fontId="4" fillId="12" borderId="1" xfId="2" applyFont="1" applyFill="1" applyBorder="1" applyAlignment="1">
      <alignment horizontal="left" vertical="top"/>
    </xf>
    <xf numFmtId="174" fontId="4" fillId="12" borderId="1" xfId="2" applyNumberFormat="1" applyFont="1" applyFill="1" applyBorder="1" applyAlignment="1">
      <alignment horizontal="center" vertical="top"/>
    </xf>
    <xf numFmtId="44" fontId="4" fillId="12" borderId="1" xfId="49" applyFont="1" applyFill="1" applyBorder="1" applyAlignment="1">
      <alignment horizontal="center"/>
    </xf>
    <xf numFmtId="10" fontId="39" fillId="12" borderId="1" xfId="1" applyNumberFormat="1" applyFont="1" applyFill="1" applyBorder="1" applyAlignment="1">
      <alignment horizontal="center"/>
    </xf>
    <xf numFmtId="9" fontId="40" fillId="13" borderId="38" xfId="1" applyFont="1" applyFill="1" applyBorder="1" applyAlignment="1">
      <alignment horizontal="center" vertical="center"/>
    </xf>
    <xf numFmtId="4" fontId="40" fillId="13" borderId="38" xfId="2" applyNumberFormat="1" applyFont="1" applyFill="1" applyBorder="1" applyAlignment="1">
      <alignment horizontal="center" vertical="center"/>
    </xf>
    <xf numFmtId="0" fontId="41" fillId="13" borderId="1" xfId="2" applyFont="1" applyFill="1" applyBorder="1" applyAlignment="1">
      <alignment horizontal="center" vertical="center"/>
    </xf>
    <xf numFmtId="4" fontId="41" fillId="13" borderId="1" xfId="2" applyNumberFormat="1" applyFont="1" applyFill="1" applyBorder="1" applyAlignment="1">
      <alignment horizontal="center" vertical="center" wrapText="1"/>
    </xf>
    <xf numFmtId="9" fontId="41" fillId="13" borderId="1" xfId="1" applyFont="1" applyFill="1" applyBorder="1" applyAlignment="1">
      <alignment horizontal="center" vertical="center" wrapText="1"/>
    </xf>
    <xf numFmtId="0" fontId="3" fillId="12" borderId="1" xfId="2" applyFont="1" applyFill="1" applyBorder="1" applyAlignment="1">
      <alignment horizontal="left" vertical="justify"/>
    </xf>
    <xf numFmtId="4" fontId="3" fillId="12" borderId="1" xfId="2" applyNumberFormat="1" applyFont="1" applyFill="1" applyBorder="1" applyAlignment="1">
      <alignment horizontal="center" vertical="center"/>
    </xf>
    <xf numFmtId="173" fontId="3" fillId="12" borderId="1" xfId="1" applyNumberFormat="1" applyFont="1" applyFill="1" applyBorder="1" applyAlignment="1">
      <alignment horizontal="center" vertical="center"/>
    </xf>
    <xf numFmtId="43" fontId="41" fillId="13" borderId="1" xfId="55" applyFont="1" applyFill="1" applyBorder="1" applyAlignment="1">
      <alignment horizontal="center" vertical="center"/>
    </xf>
    <xf numFmtId="174" fontId="3" fillId="12" borderId="1" xfId="2" applyNumberFormat="1" applyFont="1" applyFill="1" applyBorder="1" applyAlignment="1">
      <alignment horizontal="center" vertical="center"/>
    </xf>
    <xf numFmtId="0" fontId="42" fillId="13" borderId="5" xfId="0" applyFont="1" applyFill="1" applyBorder="1" applyAlignment="1">
      <alignment horizontal="center" vertical="center"/>
    </xf>
    <xf numFmtId="9" fontId="41" fillId="13" borderId="1" xfId="1" applyFont="1" applyFill="1" applyBorder="1" applyAlignment="1">
      <alignment horizontal="center" vertical="center"/>
    </xf>
    <xf numFmtId="9" fontId="4" fillId="12" borderId="1" xfId="1" applyFont="1" applyFill="1" applyBorder="1" applyAlignment="1">
      <alignment horizontal="center"/>
    </xf>
    <xf numFmtId="0" fontId="6" fillId="0" borderId="4" xfId="2" applyFont="1" applyBorder="1" applyAlignment="1">
      <alignment vertical="center"/>
    </xf>
    <xf numFmtId="0" fontId="6" fillId="0" borderId="3" xfId="2" applyFont="1" applyBorder="1" applyAlignment="1">
      <alignment vertical="center"/>
    </xf>
    <xf numFmtId="49" fontId="5" fillId="4" borderId="5" xfId="9" applyNumberFormat="1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vertical="top" wrapText="1"/>
    </xf>
    <xf numFmtId="0" fontId="5" fillId="0" borderId="5" xfId="0" applyFont="1" applyBorder="1" applyAlignment="1">
      <alignment horizontal="center" vertical="distributed"/>
    </xf>
    <xf numFmtId="172" fontId="5" fillId="0" borderId="5" xfId="12" applyNumberFormat="1" applyFont="1" applyFill="1" applyBorder="1" applyAlignment="1">
      <alignment horizontal="justify" vertical="distributed" wrapText="1"/>
    </xf>
    <xf numFmtId="169" fontId="5" fillId="4" borderId="5" xfId="12" applyNumberFormat="1" applyFont="1" applyFill="1" applyBorder="1" applyAlignment="1">
      <alignment horizontal="right" vertical="center"/>
    </xf>
    <xf numFmtId="165" fontId="5" fillId="4" borderId="5" xfId="9" applyFont="1" applyFill="1" applyBorder="1" applyAlignment="1">
      <alignment horizontal="justify" vertical="distributed" wrapText="1"/>
    </xf>
    <xf numFmtId="165" fontId="4" fillId="4" borderId="5" xfId="9" applyFont="1" applyFill="1" applyBorder="1" applyAlignment="1">
      <alignment horizontal="right" vertical="distributed" wrapText="1"/>
    </xf>
    <xf numFmtId="165" fontId="4" fillId="4" borderId="5" xfId="9" applyFont="1" applyFill="1" applyBorder="1" applyAlignment="1">
      <alignment horizontal="center" vertical="distributed" wrapText="1"/>
    </xf>
    <xf numFmtId="170" fontId="5" fillId="4" borderId="5" xfId="9" applyNumberFormat="1" applyFont="1" applyFill="1" applyBorder="1" applyAlignment="1">
      <alignment horizontal="justify" vertical="distributed" wrapText="1"/>
    </xf>
    <xf numFmtId="165" fontId="4" fillId="4" borderId="5" xfId="9" applyFont="1" applyFill="1" applyBorder="1" applyAlignment="1">
      <alignment horizontal="justify" vertical="distributed" wrapText="1"/>
    </xf>
    <xf numFmtId="170" fontId="4" fillId="10" borderId="5" xfId="9" applyNumberFormat="1" applyFont="1" applyFill="1" applyBorder="1" applyAlignment="1">
      <alignment horizontal="center" vertical="distributed" wrapText="1"/>
    </xf>
    <xf numFmtId="165" fontId="4" fillId="10" borderId="5" xfId="9" applyFont="1" applyFill="1" applyBorder="1" applyAlignment="1">
      <alignment horizontal="justify" vertical="distributed" wrapText="1"/>
    </xf>
    <xf numFmtId="165" fontId="4" fillId="10" borderId="5" xfId="9" applyFont="1" applyFill="1" applyBorder="1" applyAlignment="1">
      <alignment horizontal="center" vertical="distributed" wrapText="1"/>
    </xf>
    <xf numFmtId="0" fontId="5" fillId="0" borderId="5" xfId="0" applyFont="1" applyBorder="1"/>
    <xf numFmtId="0" fontId="5" fillId="4" borderId="5" xfId="9" applyNumberFormat="1" applyFont="1" applyFill="1" applyBorder="1" applyAlignment="1">
      <alignment horizontal="justify" vertical="center" wrapText="1"/>
    </xf>
    <xf numFmtId="165" fontId="4" fillId="10" borderId="5" xfId="9" applyFont="1" applyFill="1" applyBorder="1" applyAlignment="1">
      <alignment horizontal="right" vertical="distributed" wrapText="1"/>
    </xf>
    <xf numFmtId="0" fontId="12" fillId="0" borderId="3" xfId="0" applyFont="1" applyBorder="1" applyAlignment="1">
      <alignment horizontal="left"/>
    </xf>
    <xf numFmtId="0" fontId="4" fillId="0" borderId="22" xfId="2" applyFont="1" applyBorder="1" applyAlignment="1">
      <alignment horizontal="center" vertical="center" wrapText="1"/>
    </xf>
    <xf numFmtId="0" fontId="4" fillId="0" borderId="22" xfId="2" applyFont="1" applyBorder="1" applyAlignment="1">
      <alignment horizontal="center" vertical="top" wrapText="1"/>
    </xf>
    <xf numFmtId="0" fontId="13" fillId="0" borderId="22" xfId="2" applyFont="1" applyBorder="1" applyAlignment="1">
      <alignment horizontal="center" vertical="center" wrapText="1"/>
    </xf>
    <xf numFmtId="0" fontId="40" fillId="13" borderId="5" xfId="2" applyFont="1" applyFill="1" applyBorder="1" applyAlignment="1">
      <alignment horizontal="center" vertical="center"/>
    </xf>
    <xf numFmtId="0" fontId="40" fillId="13" borderId="5" xfId="2" applyFont="1" applyFill="1" applyBorder="1" applyAlignment="1">
      <alignment horizontal="center" vertical="center" wrapText="1"/>
    </xf>
    <xf numFmtId="4" fontId="40" fillId="13" borderId="5" xfId="2" applyNumberFormat="1" applyFont="1" applyFill="1" applyBorder="1" applyAlignment="1">
      <alignment horizontal="center" vertical="center"/>
    </xf>
    <xf numFmtId="4" fontId="40" fillId="13" borderId="5" xfId="2" applyNumberFormat="1" applyFont="1" applyFill="1" applyBorder="1" applyAlignment="1">
      <alignment horizontal="center" vertical="center" wrapText="1"/>
    </xf>
    <xf numFmtId="174" fontId="4" fillId="12" borderId="5" xfId="2" applyNumberFormat="1" applyFont="1" applyFill="1" applyBorder="1" applyAlignment="1">
      <alignment horizontal="center" vertical="center"/>
    </xf>
    <xf numFmtId="0" fontId="4" fillId="12" borderId="5" xfId="2" applyFont="1" applyFill="1" applyBorder="1" applyAlignment="1">
      <alignment horizontal="center" vertical="center"/>
    </xf>
    <xf numFmtId="0" fontId="4" fillId="12" borderId="5" xfId="2" applyFont="1" applyFill="1" applyBorder="1" applyAlignment="1">
      <alignment horizontal="center" vertical="center" wrapText="1"/>
    </xf>
    <xf numFmtId="0" fontId="4" fillId="12" borderId="5" xfId="2" applyFont="1" applyFill="1" applyBorder="1" applyAlignment="1">
      <alignment horizontal="justify" vertical="justify"/>
    </xf>
    <xf numFmtId="4" fontId="12" fillId="12" borderId="5" xfId="2" applyNumberFormat="1" applyFont="1" applyFill="1" applyBorder="1" applyAlignment="1">
      <alignment horizontal="center" vertical="center"/>
    </xf>
    <xf numFmtId="4" fontId="5" fillId="12" borderId="5" xfId="2" applyNumberFormat="1" applyFont="1" applyFill="1" applyBorder="1" applyAlignment="1">
      <alignment horizontal="center" vertical="center"/>
    </xf>
    <xf numFmtId="4" fontId="4" fillId="12" borderId="5" xfId="2" applyNumberFormat="1" applyFont="1" applyFill="1" applyBorder="1" applyAlignment="1">
      <alignment horizontal="center" vertical="center"/>
    </xf>
    <xf numFmtId="0" fontId="5" fillId="0" borderId="5" xfId="2" applyFont="1" applyBorder="1" applyAlignment="1">
      <alignment horizontal="center" vertical="center"/>
    </xf>
    <xf numFmtId="0" fontId="5" fillId="0" borderId="5" xfId="2" applyFont="1" applyBorder="1" applyAlignment="1">
      <alignment horizontal="center" vertical="center" wrapText="1"/>
    </xf>
    <xf numFmtId="0" fontId="5" fillId="0" borderId="5" xfId="0" applyFont="1" applyBorder="1" applyAlignment="1">
      <alignment wrapText="1"/>
    </xf>
    <xf numFmtId="4" fontId="5" fillId="0" borderId="5" xfId="2" applyNumberFormat="1" applyFont="1" applyBorder="1" applyAlignment="1">
      <alignment horizontal="center" vertical="center"/>
    </xf>
    <xf numFmtId="0" fontId="5" fillId="0" borderId="5" xfId="2" applyFont="1" applyBorder="1" applyAlignment="1">
      <alignment horizontal="left" vertical="center" wrapText="1"/>
    </xf>
    <xf numFmtId="4" fontId="5" fillId="0" borderId="5" xfId="9" applyNumberFormat="1" applyFont="1" applyFill="1" applyBorder="1" applyAlignment="1">
      <alignment horizontal="center" vertical="distributed" wrapText="1"/>
    </xf>
    <xf numFmtId="0" fontId="12" fillId="12" borderId="5" xfId="0" applyFont="1" applyFill="1" applyBorder="1" applyAlignment="1">
      <alignment horizontal="center" vertical="center"/>
    </xf>
    <xf numFmtId="0" fontId="12" fillId="12" borderId="5" xfId="0" applyFont="1" applyFill="1" applyBorder="1" applyAlignment="1">
      <alignment horizontal="center" vertical="center" wrapText="1"/>
    </xf>
    <xf numFmtId="0" fontId="12" fillId="12" borderId="5" xfId="0" applyFont="1" applyFill="1" applyBorder="1" applyAlignment="1">
      <alignment horizontal="justify" vertical="justify"/>
    </xf>
    <xf numFmtId="0" fontId="4" fillId="12" borderId="5" xfId="0" applyFont="1" applyFill="1" applyBorder="1" applyAlignment="1">
      <alignment horizontal="center" vertical="center"/>
    </xf>
    <xf numFmtId="4" fontId="4" fillId="12" borderId="5" xfId="0" applyNumberFormat="1" applyFont="1" applyFill="1" applyBorder="1" applyAlignment="1">
      <alignment horizontal="center" vertical="center"/>
    </xf>
    <xf numFmtId="0" fontId="5" fillId="0" borderId="3" xfId="0" applyFont="1" applyBorder="1"/>
    <xf numFmtId="0" fontId="22" fillId="0" borderId="41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0" borderId="28" xfId="0" applyFont="1" applyBorder="1" applyAlignment="1">
      <alignment horizontal="center" vertical="center"/>
    </xf>
    <xf numFmtId="0" fontId="4" fillId="3" borderId="3" xfId="0" applyFont="1" applyFill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7" borderId="3" xfId="0" applyFont="1" applyFill="1" applyBorder="1"/>
    <xf numFmtId="0" fontId="5" fillId="9" borderId="3" xfId="0" applyFont="1" applyFill="1" applyBorder="1"/>
    <xf numFmtId="0" fontId="4" fillId="0" borderId="22" xfId="2" applyFont="1" applyBorder="1" applyAlignment="1">
      <alignment horizontal="center"/>
    </xf>
    <xf numFmtId="2" fontId="40" fillId="13" borderId="5" xfId="2" applyNumberFormat="1" applyFont="1" applyFill="1" applyBorder="1" applyAlignment="1">
      <alignment horizontal="center" vertical="center"/>
    </xf>
    <xf numFmtId="0" fontId="4" fillId="0" borderId="5" xfId="2" applyFont="1" applyBorder="1" applyAlignment="1">
      <alignment horizontal="center" vertical="center"/>
    </xf>
    <xf numFmtId="0" fontId="4" fillId="0" borderId="5" xfId="2" applyFont="1" applyBorder="1" applyAlignment="1">
      <alignment horizontal="center" vertical="center" wrapText="1"/>
    </xf>
    <xf numFmtId="0" fontId="4" fillId="0" borderId="5" xfId="2" applyFont="1" applyBorder="1" applyAlignment="1">
      <alignment horizontal="justify" vertical="justify"/>
    </xf>
    <xf numFmtId="4" fontId="4" fillId="0" borderId="5" xfId="2" applyNumberFormat="1" applyFont="1" applyBorder="1" applyAlignment="1">
      <alignment horizontal="right" vertical="center"/>
    </xf>
    <xf numFmtId="2" fontId="4" fillId="0" borderId="5" xfId="2" applyNumberFormat="1" applyFont="1" applyBorder="1" applyAlignment="1">
      <alignment horizontal="right" vertical="center"/>
    </xf>
    <xf numFmtId="0" fontId="4" fillId="12" borderId="5" xfId="2" applyFont="1" applyFill="1" applyBorder="1" applyAlignment="1">
      <alignment horizontal="left" vertical="justify"/>
    </xf>
    <xf numFmtId="4" fontId="4" fillId="12" borderId="5" xfId="2" applyNumberFormat="1" applyFont="1" applyFill="1" applyBorder="1" applyAlignment="1">
      <alignment horizontal="right" vertical="center"/>
    </xf>
    <xf numFmtId="2" fontId="4" fillId="12" borderId="5" xfId="2" applyNumberFormat="1" applyFont="1" applyFill="1" applyBorder="1" applyAlignment="1">
      <alignment horizontal="right" vertical="center"/>
    </xf>
    <xf numFmtId="0" fontId="4" fillId="10" borderId="5" xfId="2" applyFont="1" applyFill="1" applyBorder="1" applyAlignment="1">
      <alignment horizontal="center" vertical="center"/>
    </xf>
    <xf numFmtId="0" fontId="4" fillId="10" borderId="5" xfId="2" applyFont="1" applyFill="1" applyBorder="1" applyAlignment="1">
      <alignment horizontal="center" vertical="center" wrapText="1"/>
    </xf>
    <xf numFmtId="0" fontId="4" fillId="10" borderId="5" xfId="2" applyFont="1" applyFill="1" applyBorder="1" applyAlignment="1">
      <alignment horizontal="justify" vertical="justify"/>
    </xf>
    <xf numFmtId="4" fontId="4" fillId="10" borderId="5" xfId="2" applyNumberFormat="1" applyFont="1" applyFill="1" applyBorder="1" applyAlignment="1">
      <alignment horizontal="right" vertical="center"/>
    </xf>
    <xf numFmtId="2" fontId="4" fillId="10" borderId="5" xfId="2" applyNumberFormat="1" applyFont="1" applyFill="1" applyBorder="1" applyAlignment="1">
      <alignment horizontal="right" vertical="center"/>
    </xf>
    <xf numFmtId="0" fontId="5" fillId="0" borderId="5" xfId="2" applyFont="1" applyBorder="1" applyAlignment="1">
      <alignment horizontal="right" vertical="justify"/>
    </xf>
    <xf numFmtId="4" fontId="5" fillId="0" borderId="5" xfId="2" applyNumberFormat="1" applyFont="1" applyBorder="1" applyAlignment="1">
      <alignment horizontal="right" vertical="center"/>
    </xf>
    <xf numFmtId="0" fontId="5" fillId="0" borderId="5" xfId="0" applyFont="1" applyBorder="1" applyAlignment="1">
      <alignment horizontal="right" vertical="justify"/>
    </xf>
    <xf numFmtId="2" fontId="5" fillId="0" borderId="5" xfId="2" applyNumberFormat="1" applyFont="1" applyBorder="1" applyAlignment="1">
      <alignment horizontal="right" vertical="center"/>
    </xf>
    <xf numFmtId="2" fontId="5" fillId="0" borderId="5" xfId="2" applyNumberFormat="1" applyFont="1" applyBorder="1" applyAlignment="1">
      <alignment horizontal="center" vertical="center"/>
    </xf>
    <xf numFmtId="4" fontId="5" fillId="0" borderId="5" xfId="2" applyNumberFormat="1" applyFont="1" applyBorder="1" applyAlignment="1">
      <alignment horizontal="center" vertical="center" wrapText="1"/>
    </xf>
    <xf numFmtId="175" fontId="5" fillId="0" borderId="5" xfId="2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wrapText="1"/>
    </xf>
    <xf numFmtId="0" fontId="5" fillId="0" borderId="5" xfId="0" applyFont="1" applyBorder="1" applyAlignment="1">
      <alignment horizontal="center"/>
    </xf>
    <xf numFmtId="0" fontId="4" fillId="12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2" borderId="5" xfId="2" applyFont="1" applyFill="1" applyBorder="1" applyAlignment="1">
      <alignment horizontal="center" vertical="center"/>
    </xf>
    <xf numFmtId="0" fontId="4" fillId="2" borderId="5" xfId="2" applyFont="1" applyFill="1" applyBorder="1" applyAlignment="1">
      <alignment horizontal="center" vertical="center" wrapText="1"/>
    </xf>
    <xf numFmtId="0" fontId="4" fillId="10" borderId="5" xfId="2" applyFont="1" applyFill="1" applyBorder="1" applyAlignment="1">
      <alignment horizontal="justify" vertical="justify" wrapText="1"/>
    </xf>
    <xf numFmtId="0" fontId="4" fillId="0" borderId="5" xfId="2" applyFont="1" applyBorder="1" applyAlignment="1">
      <alignment horizontal="right" vertical="justify"/>
    </xf>
    <xf numFmtId="4" fontId="12" fillId="0" borderId="5" xfId="2" applyNumberFormat="1" applyFont="1" applyBorder="1" applyAlignment="1">
      <alignment horizontal="center" vertical="center"/>
    </xf>
    <xf numFmtId="171" fontId="5" fillId="0" borderId="5" xfId="2" applyNumberFormat="1" applyFont="1" applyBorder="1" applyAlignment="1">
      <alignment horizontal="center" vertical="center"/>
    </xf>
    <xf numFmtId="2" fontId="5" fillId="0" borderId="1" xfId="0" applyNumberFormat="1" applyFont="1" applyBorder="1"/>
    <xf numFmtId="2" fontId="5" fillId="0" borderId="5" xfId="0" applyNumberFormat="1" applyFont="1" applyBorder="1" applyAlignment="1">
      <alignment horizontal="center"/>
    </xf>
    <xf numFmtId="4" fontId="5" fillId="0" borderId="5" xfId="0" applyNumberFormat="1" applyFont="1" applyBorder="1"/>
    <xf numFmtId="4" fontId="5" fillId="0" borderId="5" xfId="0" applyNumberFormat="1" applyFont="1" applyBorder="1" applyAlignment="1">
      <alignment horizontal="center"/>
    </xf>
    <xf numFmtId="165" fontId="4" fillId="4" borderId="45" xfId="58" applyFont="1" applyFill="1" applyBorder="1" applyAlignment="1">
      <alignment horizontal="center" vertical="distributed" wrapText="1"/>
    </xf>
    <xf numFmtId="170" fontId="5" fillId="4" borderId="45" xfId="58" applyNumberFormat="1" applyFont="1" applyFill="1" applyBorder="1" applyAlignment="1">
      <alignment horizontal="justify" vertical="distributed" wrapText="1"/>
    </xf>
    <xf numFmtId="165" fontId="4" fillId="4" borderId="45" xfId="58" applyFont="1" applyFill="1" applyBorder="1" applyAlignment="1">
      <alignment horizontal="justify" vertical="distributed" wrapText="1"/>
    </xf>
    <xf numFmtId="165" fontId="5" fillId="4" borderId="45" xfId="58" applyFont="1" applyFill="1" applyBorder="1" applyAlignment="1">
      <alignment horizontal="justify" vertical="distributed" wrapText="1"/>
    </xf>
    <xf numFmtId="170" fontId="4" fillId="2" borderId="45" xfId="58" applyNumberFormat="1" applyFont="1" applyFill="1" applyBorder="1" applyAlignment="1">
      <alignment horizontal="center" vertical="distributed" wrapText="1"/>
    </xf>
    <xf numFmtId="165" fontId="4" fillId="2" borderId="45" xfId="58" applyFont="1" applyFill="1" applyBorder="1" applyAlignment="1">
      <alignment horizontal="justify" vertical="distributed" wrapText="1"/>
    </xf>
    <xf numFmtId="165" fontId="4" fillId="2" borderId="45" xfId="58" applyFont="1" applyFill="1" applyBorder="1" applyAlignment="1">
      <alignment horizontal="center" vertical="distributed" wrapText="1"/>
    </xf>
    <xf numFmtId="49" fontId="5" fillId="4" borderId="45" xfId="58" applyNumberFormat="1" applyFont="1" applyFill="1" applyBorder="1" applyAlignment="1">
      <alignment horizontal="center" vertical="center" wrapText="1"/>
    </xf>
    <xf numFmtId="170" fontId="5" fillId="4" borderId="45" xfId="50" applyNumberFormat="1" applyFont="1" applyFill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distributed"/>
    </xf>
    <xf numFmtId="172" fontId="5" fillId="0" borderId="45" xfId="50" applyNumberFormat="1" applyFont="1" applyFill="1" applyBorder="1" applyAlignment="1">
      <alignment horizontal="justify" vertical="distributed" wrapText="1"/>
    </xf>
    <xf numFmtId="169" fontId="5" fillId="0" borderId="45" xfId="0" applyNumberFormat="1" applyFont="1" applyBorder="1" applyAlignment="1">
      <alignment horizontal="right" vertical="center"/>
    </xf>
    <xf numFmtId="169" fontId="5" fillId="4" borderId="45" xfId="50" applyNumberFormat="1" applyFont="1" applyFill="1" applyBorder="1" applyAlignment="1">
      <alignment horizontal="right" vertical="center"/>
    </xf>
    <xf numFmtId="0" fontId="5" fillId="0" borderId="45" xfId="0" applyFont="1" applyBorder="1"/>
    <xf numFmtId="165" fontId="4" fillId="2" borderId="45" xfId="58" applyFont="1" applyFill="1" applyBorder="1" applyAlignment="1">
      <alignment horizontal="right" vertical="distributed" wrapText="1"/>
    </xf>
    <xf numFmtId="165" fontId="4" fillId="15" borderId="45" xfId="58" applyFont="1" applyFill="1" applyBorder="1" applyAlignment="1">
      <alignment horizontal="justify" vertical="distributed" wrapText="1"/>
    </xf>
    <xf numFmtId="2" fontId="5" fillId="0" borderId="3" xfId="0" applyNumberFormat="1" applyFont="1" applyBorder="1"/>
    <xf numFmtId="4" fontId="5" fillId="0" borderId="5" xfId="0" applyNumberFormat="1" applyFont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12" fillId="0" borderId="22" xfId="0" applyFont="1" applyBorder="1" applyAlignment="1">
      <alignment horizontal="left"/>
    </xf>
    <xf numFmtId="0" fontId="5" fillId="0" borderId="22" xfId="0" applyFont="1" applyBorder="1"/>
    <xf numFmtId="0" fontId="12" fillId="0" borderId="38" xfId="0" applyFont="1" applyBorder="1"/>
    <xf numFmtId="0" fontId="13" fillId="3" borderId="5" xfId="0" applyFont="1" applyFill="1" applyBorder="1" applyAlignment="1">
      <alignment horizontal="left" vertical="center"/>
    </xf>
    <xf numFmtId="0" fontId="4" fillId="3" borderId="5" xfId="0" applyFont="1" applyFill="1" applyBorder="1" applyAlignment="1">
      <alignment horizontal="center" vertical="center"/>
    </xf>
    <xf numFmtId="9" fontId="5" fillId="0" borderId="5" xfId="1" applyFont="1" applyFill="1" applyBorder="1" applyAlignment="1">
      <alignment horizontal="left"/>
    </xf>
    <xf numFmtId="0" fontId="5" fillId="9" borderId="5" xfId="0" applyFont="1" applyFill="1" applyBorder="1"/>
    <xf numFmtId="0" fontId="12" fillId="9" borderId="5" xfId="0" applyFont="1" applyFill="1" applyBorder="1" applyAlignment="1">
      <alignment horizontal="left"/>
    </xf>
    <xf numFmtId="0" fontId="12" fillId="0" borderId="5" xfId="0" applyFont="1" applyBorder="1" applyAlignment="1">
      <alignment horizontal="left"/>
    </xf>
    <xf numFmtId="0" fontId="12" fillId="0" borderId="5" xfId="0" applyFont="1" applyBorder="1"/>
    <xf numFmtId="171" fontId="5" fillId="0" borderId="3" xfId="0" applyNumberFormat="1" applyFont="1" applyBorder="1"/>
    <xf numFmtId="0" fontId="22" fillId="0" borderId="1" xfId="2" applyFont="1" applyBorder="1" applyAlignment="1">
      <alignment horizontal="center"/>
    </xf>
    <xf numFmtId="0" fontId="41" fillId="13" borderId="1" xfId="0" applyFont="1" applyFill="1" applyBorder="1" applyAlignment="1">
      <alignment horizontal="center" vertical="center"/>
    </xf>
    <xf numFmtId="0" fontId="6" fillId="0" borderId="4" xfId="2" applyFont="1" applyBorder="1" applyAlignment="1">
      <alignment horizontal="left" vertical="center"/>
    </xf>
    <xf numFmtId="0" fontId="6" fillId="0" borderId="2" xfId="2" applyFont="1" applyBorder="1" applyAlignment="1">
      <alignment horizontal="left" vertical="center"/>
    </xf>
    <xf numFmtId="0" fontId="6" fillId="0" borderId="3" xfId="2" applyFont="1" applyBorder="1" applyAlignment="1">
      <alignment horizontal="left" vertical="center"/>
    </xf>
    <xf numFmtId="0" fontId="22" fillId="0" borderId="4" xfId="2" applyFont="1" applyBorder="1" applyAlignment="1">
      <alignment horizontal="center"/>
    </xf>
    <xf numFmtId="0" fontId="22" fillId="0" borderId="2" xfId="2" applyFont="1" applyBorder="1" applyAlignment="1">
      <alignment horizontal="center"/>
    </xf>
    <xf numFmtId="0" fontId="22" fillId="0" borderId="3" xfId="2" applyFont="1" applyBorder="1" applyAlignment="1">
      <alignment horizontal="center"/>
    </xf>
    <xf numFmtId="0" fontId="3" fillId="0" borderId="4" xfId="2" applyFont="1" applyBorder="1" applyAlignment="1">
      <alignment horizontal="center" vertical="center"/>
    </xf>
    <xf numFmtId="0" fontId="3" fillId="0" borderId="2" xfId="2" applyFont="1" applyBorder="1" applyAlignment="1">
      <alignment horizontal="center" vertical="center"/>
    </xf>
    <xf numFmtId="0" fontId="3" fillId="0" borderId="3" xfId="2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justify"/>
    </xf>
    <xf numFmtId="0" fontId="12" fillId="0" borderId="0" xfId="0" applyFont="1" applyAlignment="1">
      <alignment horizontal="center" vertical="center"/>
    </xf>
    <xf numFmtId="0" fontId="13" fillId="0" borderId="4" xfId="2" applyFont="1" applyBorder="1" applyAlignment="1">
      <alignment horizontal="center" vertical="center" wrapText="1"/>
    </xf>
    <xf numFmtId="0" fontId="13" fillId="0" borderId="2" xfId="2" applyFont="1" applyBorder="1" applyAlignment="1">
      <alignment horizontal="center" vertical="center" wrapText="1"/>
    </xf>
    <xf numFmtId="0" fontId="13" fillId="0" borderId="3" xfId="2" applyFont="1" applyBorder="1" applyAlignment="1">
      <alignment horizontal="center" vertical="center" wrapText="1"/>
    </xf>
    <xf numFmtId="165" fontId="4" fillId="4" borderId="5" xfId="9" applyFont="1" applyFill="1" applyBorder="1" applyAlignment="1">
      <alignment horizontal="justify" vertical="distributed" wrapText="1"/>
    </xf>
    <xf numFmtId="170" fontId="4" fillId="4" borderId="5" xfId="9" applyNumberFormat="1" applyFont="1" applyFill="1" applyBorder="1" applyAlignment="1">
      <alignment horizontal="center" vertical="distributed" wrapText="1"/>
    </xf>
    <xf numFmtId="165" fontId="4" fillId="4" borderId="11" xfId="9" applyFont="1" applyFill="1" applyBorder="1" applyAlignment="1">
      <alignment horizontal="left" vertical="distributed" wrapText="1"/>
    </xf>
    <xf numFmtId="165" fontId="4" fillId="4" borderId="13" xfId="9" applyFont="1" applyFill="1" applyBorder="1" applyAlignment="1">
      <alignment horizontal="left" vertical="distributed" wrapText="1"/>
    </xf>
    <xf numFmtId="165" fontId="4" fillId="4" borderId="12" xfId="9" applyFont="1" applyFill="1" applyBorder="1" applyAlignment="1">
      <alignment horizontal="left" vertical="distributed" wrapText="1"/>
    </xf>
    <xf numFmtId="0" fontId="4" fillId="12" borderId="5" xfId="9" applyNumberFormat="1" applyFont="1" applyFill="1" applyBorder="1" applyAlignment="1">
      <alignment horizontal="center" vertical="center" wrapText="1"/>
    </xf>
    <xf numFmtId="165" fontId="4" fillId="4" borderId="5" xfId="9" applyFont="1" applyFill="1" applyBorder="1" applyAlignment="1">
      <alignment horizontal="center" vertical="distributed" wrapText="1"/>
    </xf>
    <xf numFmtId="165" fontId="4" fillId="10" borderId="5" xfId="9" applyFont="1" applyFill="1" applyBorder="1" applyAlignment="1">
      <alignment horizontal="center" vertical="distributed" wrapText="1"/>
    </xf>
    <xf numFmtId="0" fontId="43" fillId="4" borderId="18" xfId="0" applyFont="1" applyFill="1" applyBorder="1" applyAlignment="1">
      <alignment horizontal="left" vertical="top" wrapText="1"/>
    </xf>
    <xf numFmtId="0" fontId="43" fillId="4" borderId="19" xfId="0" applyFont="1" applyFill="1" applyBorder="1" applyAlignment="1">
      <alignment horizontal="left" vertical="top" wrapText="1"/>
    </xf>
    <xf numFmtId="0" fontId="43" fillId="4" borderId="20" xfId="0" applyFont="1" applyFill="1" applyBorder="1" applyAlignment="1">
      <alignment horizontal="left" vertical="top" wrapText="1"/>
    </xf>
    <xf numFmtId="0" fontId="35" fillId="12" borderId="6" xfId="0" applyFont="1" applyFill="1" applyBorder="1" applyAlignment="1">
      <alignment horizontal="center"/>
    </xf>
    <xf numFmtId="0" fontId="35" fillId="12" borderId="7" xfId="0" applyFont="1" applyFill="1" applyBorder="1" applyAlignment="1">
      <alignment horizontal="center"/>
    </xf>
    <xf numFmtId="0" fontId="35" fillId="12" borderId="8" xfId="0" applyFont="1" applyFill="1" applyBorder="1" applyAlignment="1">
      <alignment horizontal="center"/>
    </xf>
    <xf numFmtId="4" fontId="36" fillId="0" borderId="14" xfId="0" applyNumberFormat="1" applyFont="1" applyBorder="1" applyAlignment="1">
      <alignment horizontal="left" vertical="top" wrapText="1"/>
    </xf>
    <xf numFmtId="4" fontId="36" fillId="0" borderId="9" xfId="0" applyNumberFormat="1" applyFont="1" applyBorder="1" applyAlignment="1">
      <alignment horizontal="left" vertical="top" wrapText="1"/>
    </xf>
    <xf numFmtId="0" fontId="36" fillId="0" borderId="9" xfId="0" applyFont="1" applyBorder="1" applyAlignment="1">
      <alignment horizontal="left" vertical="top" wrapText="1"/>
    </xf>
    <xf numFmtId="0" fontId="36" fillId="0" borderId="15" xfId="0" applyFont="1" applyBorder="1" applyAlignment="1">
      <alignment horizontal="left" vertical="top" wrapText="1"/>
    </xf>
    <xf numFmtId="4" fontId="36" fillId="0" borderId="16" xfId="0" applyNumberFormat="1" applyFont="1" applyBorder="1" applyAlignment="1">
      <alignment horizontal="left" vertical="top" wrapText="1"/>
    </xf>
    <xf numFmtId="4" fontId="36" fillId="0" borderId="0" xfId="0" applyNumberFormat="1" applyFont="1" applyAlignment="1">
      <alignment horizontal="left" vertical="top" wrapText="1"/>
    </xf>
    <xf numFmtId="4" fontId="36" fillId="0" borderId="17" xfId="0" applyNumberFormat="1" applyFont="1" applyBorder="1" applyAlignment="1">
      <alignment horizontal="left" vertical="top" wrapText="1"/>
    </xf>
    <xf numFmtId="0" fontId="15" fillId="12" borderId="4" xfId="2" applyFont="1" applyFill="1" applyBorder="1" applyAlignment="1">
      <alignment horizontal="center" vertical="center"/>
    </xf>
    <xf numFmtId="0" fontId="15" fillId="12" borderId="2" xfId="2" applyFont="1" applyFill="1" applyBorder="1" applyAlignment="1">
      <alignment horizontal="center" vertical="center"/>
    </xf>
    <xf numFmtId="4" fontId="15" fillId="12" borderId="2" xfId="2" applyNumberFormat="1" applyFont="1" applyFill="1" applyBorder="1" applyAlignment="1">
      <alignment horizontal="center" vertical="center"/>
    </xf>
    <xf numFmtId="0" fontId="15" fillId="12" borderId="3" xfId="2" applyFont="1" applyFill="1" applyBorder="1" applyAlignment="1">
      <alignment horizontal="center" vertical="center"/>
    </xf>
    <xf numFmtId="0" fontId="4" fillId="12" borderId="1" xfId="2" applyFont="1" applyFill="1" applyBorder="1" applyAlignment="1">
      <alignment horizontal="center" vertical="top"/>
    </xf>
    <xf numFmtId="0" fontId="40" fillId="13" borderId="1" xfId="2" applyFont="1" applyFill="1" applyBorder="1" applyAlignment="1">
      <alignment horizontal="center" vertical="center"/>
    </xf>
    <xf numFmtId="0" fontId="40" fillId="13" borderId="1" xfId="2" applyFont="1" applyFill="1" applyBorder="1" applyAlignment="1">
      <alignment horizontal="center" vertical="center" wrapText="1"/>
    </xf>
    <xf numFmtId="4" fontId="40" fillId="13" borderId="23" xfId="2" applyNumberFormat="1" applyFont="1" applyFill="1" applyBorder="1" applyAlignment="1">
      <alignment horizontal="center" vertical="center"/>
    </xf>
    <xf numFmtId="4" fontId="40" fillId="13" borderId="24" xfId="2" applyNumberFormat="1" applyFont="1" applyFill="1" applyBorder="1" applyAlignment="1">
      <alignment horizontal="center" vertical="center"/>
    </xf>
    <xf numFmtId="0" fontId="11" fillId="0" borderId="1" xfId="2" applyFont="1" applyBorder="1" applyAlignment="1">
      <alignment horizontal="left" wrapText="1"/>
    </xf>
    <xf numFmtId="0" fontId="22" fillId="0" borderId="1" xfId="2" applyFont="1" applyBorder="1" applyAlignment="1">
      <alignment horizontal="center" wrapText="1"/>
    </xf>
    <xf numFmtId="0" fontId="3" fillId="0" borderId="23" xfId="2" applyFont="1" applyBorder="1" applyAlignment="1">
      <alignment horizontal="center" vertical="center"/>
    </xf>
    <xf numFmtId="0" fontId="3" fillId="0" borderId="21" xfId="2" applyFont="1" applyBorder="1" applyAlignment="1">
      <alignment horizontal="center" vertical="center"/>
    </xf>
    <xf numFmtId="0" fontId="3" fillId="0" borderId="39" xfId="2" applyFont="1" applyBorder="1" applyAlignment="1">
      <alignment horizontal="center" vertical="center"/>
    </xf>
    <xf numFmtId="0" fontId="3" fillId="0" borderId="25" xfId="2" applyFont="1" applyBorder="1" applyAlignment="1">
      <alignment horizontal="center" vertical="center"/>
    </xf>
    <xf numFmtId="0" fontId="11" fillId="0" borderId="4" xfId="2" applyFont="1" applyBorder="1" applyAlignment="1">
      <alignment horizontal="left" vertical="center" wrapText="1"/>
    </xf>
    <xf numFmtId="0" fontId="11" fillId="0" borderId="2" xfId="2" applyFont="1" applyBorder="1" applyAlignment="1">
      <alignment horizontal="left" vertical="center" wrapText="1"/>
    </xf>
    <xf numFmtId="0" fontId="23" fillId="0" borderId="10" xfId="0" applyFont="1" applyBorder="1" applyAlignment="1">
      <alignment horizontal="left" vertical="center"/>
    </xf>
    <xf numFmtId="0" fontId="23" fillId="0" borderId="29" xfId="0" applyFont="1" applyBorder="1" applyAlignment="1">
      <alignment horizontal="left" vertical="center"/>
    </xf>
    <xf numFmtId="0" fontId="31" fillId="0" borderId="0" xfId="6" applyFont="1" applyAlignment="1">
      <alignment horizontal="justify" wrapText="1"/>
    </xf>
    <xf numFmtId="0" fontId="17" fillId="0" borderId="0" xfId="6" applyFont="1" applyAlignment="1">
      <alignment horizontal="justify" wrapText="1"/>
    </xf>
    <xf numFmtId="0" fontId="33" fillId="0" borderId="11" xfId="0" applyFont="1" applyBorder="1" applyAlignment="1">
      <alignment horizontal="left" vertical="justify" wrapText="1"/>
    </xf>
    <xf numFmtId="0" fontId="33" fillId="0" borderId="13" xfId="0" applyFont="1" applyBorder="1" applyAlignment="1">
      <alignment horizontal="left" vertical="justify" wrapText="1"/>
    </xf>
    <xf numFmtId="0" fontId="33" fillId="0" borderId="12" xfId="0" applyFont="1" applyBorder="1" applyAlignment="1">
      <alignment horizontal="left" vertical="justify" wrapText="1"/>
    </xf>
    <xf numFmtId="0" fontId="24" fillId="0" borderId="0" xfId="0" applyFont="1" applyAlignment="1">
      <alignment horizontal="center"/>
    </xf>
    <xf numFmtId="0" fontId="27" fillId="0" borderId="0" xfId="0" applyFont="1" applyAlignment="1">
      <alignment horizontal="center" wrapText="1"/>
    </xf>
    <xf numFmtId="0" fontId="15" fillId="0" borderId="0" xfId="0" applyFont="1" applyAlignment="1">
      <alignment horizontal="left" wrapText="1"/>
    </xf>
    <xf numFmtId="0" fontId="15" fillId="0" borderId="0" xfId="0" applyFont="1" applyAlignment="1">
      <alignment horizontal="left" vertical="top" wrapText="1"/>
    </xf>
    <xf numFmtId="4" fontId="28" fillId="0" borderId="0" xfId="0" applyNumberFormat="1" applyFont="1" applyAlignment="1">
      <alignment horizontal="center" vertical="center" wrapText="1"/>
    </xf>
    <xf numFmtId="0" fontId="3" fillId="0" borderId="5" xfId="2" applyFont="1" applyBorder="1" applyAlignment="1">
      <alignment horizontal="center"/>
    </xf>
    <xf numFmtId="0" fontId="22" fillId="0" borderId="5" xfId="0" applyFont="1" applyBorder="1" applyAlignment="1">
      <alignment horizontal="center" wrapText="1"/>
    </xf>
    <xf numFmtId="0" fontId="4" fillId="0" borderId="42" xfId="2" applyFont="1" applyBorder="1" applyAlignment="1">
      <alignment horizontal="left"/>
    </xf>
    <xf numFmtId="0" fontId="4" fillId="0" borderId="43" xfId="2" applyFont="1" applyBorder="1" applyAlignment="1">
      <alignment horizontal="left"/>
    </xf>
    <xf numFmtId="0" fontId="4" fillId="0" borderId="44" xfId="2" applyFont="1" applyBorder="1" applyAlignment="1">
      <alignment horizontal="left"/>
    </xf>
    <xf numFmtId="0" fontId="4" fillId="0" borderId="4" xfId="2" applyFont="1" applyBorder="1" applyAlignment="1">
      <alignment horizontal="left"/>
    </xf>
    <xf numFmtId="0" fontId="4" fillId="0" borderId="2" xfId="2" applyFont="1" applyBorder="1" applyAlignment="1">
      <alignment horizontal="left"/>
    </xf>
    <xf numFmtId="0" fontId="4" fillId="0" borderId="3" xfId="2" applyFont="1" applyBorder="1" applyAlignment="1">
      <alignment horizontal="left"/>
    </xf>
    <xf numFmtId="165" fontId="4" fillId="4" borderId="45" xfId="58" applyFont="1" applyFill="1" applyBorder="1" applyAlignment="1">
      <alignment horizontal="justify" vertical="distributed" wrapText="1"/>
    </xf>
    <xf numFmtId="0" fontId="35" fillId="2" borderId="6" xfId="0" applyFont="1" applyFill="1" applyBorder="1" applyAlignment="1">
      <alignment horizontal="center"/>
    </xf>
    <xf numFmtId="0" fontId="35" fillId="2" borderId="7" xfId="0" applyFont="1" applyFill="1" applyBorder="1" applyAlignment="1">
      <alignment horizontal="center"/>
    </xf>
    <xf numFmtId="0" fontId="35" fillId="2" borderId="8" xfId="0" applyFont="1" applyFill="1" applyBorder="1" applyAlignment="1">
      <alignment horizontal="center"/>
    </xf>
    <xf numFmtId="0" fontId="20" fillId="10" borderId="45" xfId="0" applyFont="1" applyFill="1" applyBorder="1" applyAlignment="1">
      <alignment horizontal="center"/>
    </xf>
    <xf numFmtId="170" fontId="4" fillId="4" borderId="46" xfId="58" applyNumberFormat="1" applyFont="1" applyFill="1" applyBorder="1" applyAlignment="1">
      <alignment horizontal="center" vertical="distributed" wrapText="1"/>
    </xf>
    <xf numFmtId="170" fontId="4" fillId="4" borderId="47" xfId="58" applyNumberFormat="1" applyFont="1" applyFill="1" applyBorder="1" applyAlignment="1">
      <alignment horizontal="center" vertical="distributed" wrapText="1"/>
    </xf>
    <xf numFmtId="170" fontId="4" fillId="4" borderId="26" xfId="58" applyNumberFormat="1" applyFont="1" applyFill="1" applyBorder="1" applyAlignment="1">
      <alignment horizontal="center" vertical="distributed" wrapText="1"/>
    </xf>
    <xf numFmtId="170" fontId="4" fillId="4" borderId="27" xfId="58" applyNumberFormat="1" applyFont="1" applyFill="1" applyBorder="1" applyAlignment="1">
      <alignment horizontal="center" vertical="distributed" wrapText="1"/>
    </xf>
    <xf numFmtId="170" fontId="4" fillId="4" borderId="51" xfId="58" applyNumberFormat="1" applyFont="1" applyFill="1" applyBorder="1" applyAlignment="1">
      <alignment horizontal="center" vertical="distributed" wrapText="1"/>
    </xf>
    <xf numFmtId="170" fontId="4" fillId="4" borderId="52" xfId="58" applyNumberFormat="1" applyFont="1" applyFill="1" applyBorder="1" applyAlignment="1">
      <alignment horizontal="center" vertical="distributed" wrapText="1"/>
    </xf>
    <xf numFmtId="165" fontId="4" fillId="4" borderId="48" xfId="58" applyFont="1" applyFill="1" applyBorder="1" applyAlignment="1">
      <alignment horizontal="left" vertical="distributed" wrapText="1"/>
    </xf>
    <xf numFmtId="165" fontId="4" fillId="4" borderId="2" xfId="58" applyFont="1" applyFill="1" applyBorder="1" applyAlignment="1">
      <alignment horizontal="left" vertical="distributed" wrapText="1"/>
    </xf>
    <xf numFmtId="165" fontId="4" fillId="4" borderId="49" xfId="58" applyFont="1" applyFill="1" applyBorder="1" applyAlignment="1">
      <alignment horizontal="left" vertical="distributed" wrapText="1"/>
    </xf>
    <xf numFmtId="0" fontId="4" fillId="14" borderId="45" xfId="58" applyNumberFormat="1" applyFont="1" applyFill="1" applyBorder="1" applyAlignment="1">
      <alignment horizontal="justify" vertical="distributed" wrapText="1"/>
    </xf>
    <xf numFmtId="165" fontId="4" fillId="4" borderId="46" xfId="58" applyFont="1" applyFill="1" applyBorder="1" applyAlignment="1">
      <alignment horizontal="center" vertical="distributed" wrapText="1"/>
    </xf>
    <xf numFmtId="165" fontId="4" fillId="4" borderId="47" xfId="58" applyFont="1" applyFill="1" applyBorder="1" applyAlignment="1">
      <alignment horizontal="center" vertical="distributed" wrapText="1"/>
    </xf>
    <xf numFmtId="165" fontId="4" fillId="4" borderId="51" xfId="58" applyFont="1" applyFill="1" applyBorder="1" applyAlignment="1">
      <alignment horizontal="center" vertical="distributed" wrapText="1"/>
    </xf>
    <xf numFmtId="165" fontId="4" fillId="4" borderId="52" xfId="58" applyFont="1" applyFill="1" applyBorder="1" applyAlignment="1">
      <alignment horizontal="center" vertical="distributed" wrapText="1"/>
    </xf>
    <xf numFmtId="165" fontId="4" fillId="9" borderId="50" xfId="58" applyFont="1" applyFill="1" applyBorder="1" applyAlignment="1">
      <alignment horizontal="center" vertical="distributed" wrapText="1"/>
    </xf>
    <xf numFmtId="165" fontId="4" fillId="9" borderId="53" xfId="58" applyFont="1" applyFill="1" applyBorder="1" applyAlignment="1">
      <alignment horizontal="center" vertical="distributed" wrapText="1"/>
    </xf>
    <xf numFmtId="0" fontId="20" fillId="10" borderId="45" xfId="0" applyFont="1" applyFill="1" applyBorder="1" applyAlignment="1">
      <alignment horizontal="center" wrapText="1"/>
    </xf>
  </cellXfs>
  <cellStyles count="59">
    <cellStyle name="Moeda" xfId="49" builtinId="4"/>
    <cellStyle name="Moeda 2" xfId="10" xr:uid="{00000000-0005-0000-0000-000001000000}"/>
    <cellStyle name="Moeda 3" xfId="14" xr:uid="{00000000-0005-0000-0000-000002000000}"/>
    <cellStyle name="Moeda 4" xfId="15" xr:uid="{00000000-0005-0000-0000-000003000000}"/>
    <cellStyle name="Moeda 5" xfId="16" xr:uid="{00000000-0005-0000-0000-000004000000}"/>
    <cellStyle name="Normal" xfId="0" builtinId="0"/>
    <cellStyle name="Normal 19" xfId="52" xr:uid="{00000000-0005-0000-0000-000006000000}"/>
    <cellStyle name="Normal 2" xfId="3" xr:uid="{00000000-0005-0000-0000-000007000000}"/>
    <cellStyle name="Normal 2 2" xfId="5" xr:uid="{00000000-0005-0000-0000-000008000000}"/>
    <cellStyle name="Normal 2 3" xfId="17" xr:uid="{00000000-0005-0000-0000-000009000000}"/>
    <cellStyle name="Normal 2 3 2" xfId="13" xr:uid="{00000000-0005-0000-0000-00000A000000}"/>
    <cellStyle name="Normal 2 4" xfId="18" xr:uid="{00000000-0005-0000-0000-00000B000000}"/>
    <cellStyle name="Normal 2 5" xfId="51" xr:uid="{00000000-0005-0000-0000-00000C000000}"/>
    <cellStyle name="Normal 3" xfId="6" xr:uid="{00000000-0005-0000-0000-00000D000000}"/>
    <cellStyle name="Normal 3 2" xfId="19" xr:uid="{00000000-0005-0000-0000-00000E000000}"/>
    <cellStyle name="Normal 3 2 2" xfId="20" xr:uid="{00000000-0005-0000-0000-00000F000000}"/>
    <cellStyle name="Normal 3 2 3" xfId="21" xr:uid="{00000000-0005-0000-0000-000010000000}"/>
    <cellStyle name="Normal 3 3" xfId="22" xr:uid="{00000000-0005-0000-0000-000011000000}"/>
    <cellStyle name="Normal 4" xfId="11" xr:uid="{00000000-0005-0000-0000-000012000000}"/>
    <cellStyle name="Normal 4 2" xfId="23" xr:uid="{00000000-0005-0000-0000-000013000000}"/>
    <cellStyle name="Normal 4 2 2" xfId="24" xr:uid="{00000000-0005-0000-0000-000014000000}"/>
    <cellStyle name="Normal 4 3" xfId="25" xr:uid="{00000000-0005-0000-0000-000015000000}"/>
    <cellStyle name="Normal 5" xfId="26" xr:uid="{00000000-0005-0000-0000-000016000000}"/>
    <cellStyle name="Normal 5 2" xfId="27" xr:uid="{00000000-0005-0000-0000-000017000000}"/>
    <cellStyle name="Normal 5 3" xfId="28" xr:uid="{00000000-0005-0000-0000-000018000000}"/>
    <cellStyle name="Normal 6" xfId="29" xr:uid="{00000000-0005-0000-0000-000019000000}"/>
    <cellStyle name="Normal 6 2" xfId="30" xr:uid="{00000000-0005-0000-0000-00001A000000}"/>
    <cellStyle name="Normal 7" xfId="31" xr:uid="{00000000-0005-0000-0000-00001B000000}"/>
    <cellStyle name="Normal 7 2" xfId="32" xr:uid="{00000000-0005-0000-0000-00001C000000}"/>
    <cellStyle name="Normal 7 4" xfId="57" xr:uid="{00000000-0005-0000-0000-00001D000000}"/>
    <cellStyle name="Normal 8" xfId="33" xr:uid="{00000000-0005-0000-0000-00001E000000}"/>
    <cellStyle name="Normal_cronograma 6 meses 2" xfId="2" xr:uid="{00000000-0005-0000-0000-00001F000000}"/>
    <cellStyle name="Porcentagem" xfId="1" builtinId="5"/>
    <cellStyle name="Porcentagem 2" xfId="7" xr:uid="{00000000-0005-0000-0000-000021000000}"/>
    <cellStyle name="Porcentagem 2 2" xfId="34" xr:uid="{00000000-0005-0000-0000-000022000000}"/>
    <cellStyle name="Porcentagem 2 2 2" xfId="35" xr:uid="{00000000-0005-0000-0000-000023000000}"/>
    <cellStyle name="Porcentagem 3" xfId="36" xr:uid="{00000000-0005-0000-0000-000024000000}"/>
    <cellStyle name="Porcentagem 7" xfId="53" xr:uid="{00000000-0005-0000-0000-000025000000}"/>
    <cellStyle name="Separador de milhares 2" xfId="8" xr:uid="{00000000-0005-0000-0000-000026000000}"/>
    <cellStyle name="Separador de milhares 2 2" xfId="37" xr:uid="{00000000-0005-0000-0000-000027000000}"/>
    <cellStyle name="Separador de milhares 2 2 2" xfId="38" xr:uid="{00000000-0005-0000-0000-000028000000}"/>
    <cellStyle name="Separador de milhares 2 2 2 2" xfId="39" xr:uid="{00000000-0005-0000-0000-000029000000}"/>
    <cellStyle name="Separador de milhares 3" xfId="4" xr:uid="{00000000-0005-0000-0000-00002A000000}"/>
    <cellStyle name="Separador de milhares 3 2" xfId="40" xr:uid="{00000000-0005-0000-0000-00002B000000}"/>
    <cellStyle name="Separador de milhares 3 3" xfId="41" xr:uid="{00000000-0005-0000-0000-00002C000000}"/>
    <cellStyle name="Separador de milhares 4" xfId="42" xr:uid="{00000000-0005-0000-0000-00002D000000}"/>
    <cellStyle name="Separador de milhares 4 2" xfId="43" xr:uid="{00000000-0005-0000-0000-00002E000000}"/>
    <cellStyle name="Separador de milhares 4 3" xfId="44" xr:uid="{00000000-0005-0000-0000-00002F000000}"/>
    <cellStyle name="Separador de milhares 4 4" xfId="54" xr:uid="{00000000-0005-0000-0000-000030000000}"/>
    <cellStyle name="Separador de milhares 5" xfId="45" xr:uid="{00000000-0005-0000-0000-000031000000}"/>
    <cellStyle name="Vírgula" xfId="55" builtinId="3"/>
    <cellStyle name="Vírgula 2" xfId="9" xr:uid="{00000000-0005-0000-0000-000033000000}"/>
    <cellStyle name="Vírgula 2 2" xfId="12" xr:uid="{00000000-0005-0000-0000-000034000000}"/>
    <cellStyle name="Vírgula 2 2 2" xfId="50" xr:uid="{00000000-0005-0000-0000-000035000000}"/>
    <cellStyle name="Vírgula 2 3" xfId="46" xr:uid="{00000000-0005-0000-0000-000036000000}"/>
    <cellStyle name="Vírgula 2 5" xfId="58" xr:uid="{9D7CDB8F-E33E-413F-BE96-77BE94D56C9C}"/>
    <cellStyle name="Vírgula 3" xfId="47" xr:uid="{00000000-0005-0000-0000-000037000000}"/>
    <cellStyle name="Vírgula 4" xfId="48" xr:uid="{00000000-0005-0000-0000-000038000000}"/>
    <cellStyle name="Vírgula 4 2" xfId="56" xr:uid="{00000000-0005-0000-0000-00003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6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57151</xdr:colOff>
      <xdr:row>61</xdr:row>
      <xdr:rowOff>11301</xdr:rowOff>
    </xdr:from>
    <xdr:to>
      <xdr:col>1</xdr:col>
      <xdr:colOff>4000501</xdr:colOff>
      <xdr:row>64</xdr:row>
      <xdr:rowOff>152401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133351" y="14698851"/>
          <a:ext cx="3943350" cy="6840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/>
            <a:t>BDI =     (</a:t>
          </a:r>
          <a:r>
            <a:rPr lang="pt-BR" sz="1100" u="sng"/>
            <a:t>1+AC/100)x(1+DF/100)x(1+R/100)x(1+l/100</a:t>
          </a:r>
          <a:r>
            <a:rPr lang="pt-BR" sz="1100"/>
            <a:t>)  </a:t>
          </a:r>
          <a:r>
            <a:rPr lang="pt-BR" sz="1100" baseline="0"/>
            <a:t> -1        x100</a:t>
          </a:r>
        </a:p>
        <a:p>
          <a:r>
            <a:rPr lang="pt-BR" sz="1100" baseline="0"/>
            <a:t>                                                1-      </a:t>
          </a:r>
          <a:r>
            <a:rPr lang="pt-BR" sz="1100" u="sng" baseline="0"/>
            <a:t>    l   .           </a:t>
          </a:r>
        </a:p>
        <a:p>
          <a:r>
            <a:rPr lang="pt-BR" sz="1100" baseline="0"/>
            <a:t>                                                           100</a:t>
          </a:r>
          <a:endParaRPr lang="pt-BR" sz="1100"/>
        </a:p>
      </xdr:txBody>
    </xdr:sp>
    <xdr:clientData/>
  </xdr:twoCellAnchor>
  <xdr:twoCellAnchor>
    <xdr:from>
      <xdr:col>1</xdr:col>
      <xdr:colOff>581025</xdr:colOff>
      <xdr:row>61</xdr:row>
      <xdr:rowOff>19050</xdr:rowOff>
    </xdr:from>
    <xdr:to>
      <xdr:col>1</xdr:col>
      <xdr:colOff>3190875</xdr:colOff>
      <xdr:row>64</xdr:row>
      <xdr:rowOff>95250</xdr:rowOff>
    </xdr:to>
    <xdr:sp macro="" textlink="">
      <xdr:nvSpPr>
        <xdr:cNvPr id="3" name="Colchete duplo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657225" y="14706600"/>
          <a:ext cx="2609850" cy="619125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1</xdr:col>
      <xdr:colOff>457200</xdr:colOff>
      <xdr:row>61</xdr:row>
      <xdr:rowOff>0</xdr:rowOff>
    </xdr:from>
    <xdr:to>
      <xdr:col>1</xdr:col>
      <xdr:colOff>3415393</xdr:colOff>
      <xdr:row>64</xdr:row>
      <xdr:rowOff>142874</xdr:rowOff>
    </xdr:to>
    <xdr:sp macro="" textlink="">
      <xdr:nvSpPr>
        <xdr:cNvPr id="4" name="Chave dupla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/>
      </xdr:nvSpPr>
      <xdr:spPr>
        <a:xfrm>
          <a:off x="533400" y="14687550"/>
          <a:ext cx="2958193" cy="685799"/>
        </a:xfrm>
        <a:prstGeom prst="brace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1</xdr:col>
      <xdr:colOff>1876425</xdr:colOff>
      <xdr:row>62</xdr:row>
      <xdr:rowOff>95250</xdr:rowOff>
    </xdr:from>
    <xdr:to>
      <xdr:col>1</xdr:col>
      <xdr:colOff>2333625</xdr:colOff>
      <xdr:row>64</xdr:row>
      <xdr:rowOff>57149</xdr:rowOff>
    </xdr:to>
    <xdr:sp macro="" textlink="">
      <xdr:nvSpPr>
        <xdr:cNvPr id="5" name="Colchete duplo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/>
      </xdr:nvSpPr>
      <xdr:spPr>
        <a:xfrm>
          <a:off x="1952625" y="14963775"/>
          <a:ext cx="457200" cy="323849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1</xdr:col>
      <xdr:colOff>1571624</xdr:colOff>
      <xdr:row>62</xdr:row>
      <xdr:rowOff>57150</xdr:rowOff>
    </xdr:from>
    <xdr:to>
      <xdr:col>1</xdr:col>
      <xdr:colOff>2419349</xdr:colOff>
      <xdr:row>64</xdr:row>
      <xdr:rowOff>142875</xdr:rowOff>
    </xdr:to>
    <xdr:sp macro="" textlink="">
      <xdr:nvSpPr>
        <xdr:cNvPr id="6" name="Colchete duplo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/>
      </xdr:nvSpPr>
      <xdr:spPr>
        <a:xfrm>
          <a:off x="1647824" y="14925675"/>
          <a:ext cx="847725" cy="447675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38100</xdr:colOff>
          <xdr:row>34</xdr:row>
          <xdr:rowOff>0</xdr:rowOff>
        </xdr:from>
        <xdr:to>
          <xdr:col>1</xdr:col>
          <xdr:colOff>4671060</xdr:colOff>
          <xdr:row>38</xdr:row>
          <xdr:rowOff>7620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4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Users\FERNANDO\Downloads\Sec.%20Direitos%20Humanos\Ger&#234;ncia%20de%20Projetos\UFRPE\44.003%20-%20Pr&#233;dio%20de%206%20pavimentos\CD%20-%20VERS&#195;O%20FINAL25-09-07\PR&#201;DIO%20DE%206%20PAVIMENTOS\OR&#199;AMENTOS\orca-elet-refinaria%20por%20bloc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ERNANDO/Downloads/Sec.%20Direitos%20Humanos/Ger&#234;ncia%20de%20Projetos/UFRPE/44.003%20-%20Pr&#233;dio%20de%206%20pavimentos/CD%20-%20VERS&#195;O%20FINAL25-09-07/PR&#201;DIO%20DE%206%20PAVIMENTOS/OR&#199;AMENTOS/orca-elet-refinaria%20por%20bloc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os&#233;Carlos/Desktop/aux%20fossa/_____FOSSA+SUMIDOURO-OROBO/_MODELO_CODIGOS_SINAPI_CLUBE_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ILHA FONTE"/>
      <sheetName val="teat-mus"/>
      <sheetName val="arte"/>
      <sheetName val="Lanchonete"/>
      <sheetName val="Loja 1"/>
      <sheetName val="Loja 2"/>
      <sheetName val="terraço de ativ."/>
      <sheetName val="se-ilum ext"/>
    </sheetNames>
    <sheetDataSet>
      <sheetData sheetId="0" refreshError="1">
        <row r="1">
          <cell r="B1" t="str">
            <v>18.01</v>
          </cell>
        </row>
        <row r="2">
          <cell r="B2" t="str">
            <v>18.01.005</v>
          </cell>
          <cell r="C2" t="str">
            <v>Fio de cobre nu, tempera meio-duro, classe 1A S.M. - 10 mm², inclusive assentamento.</v>
          </cell>
          <cell r="D2" t="str">
            <v>m</v>
          </cell>
          <cell r="F2">
            <v>1.84</v>
          </cell>
          <cell r="G2">
            <v>0</v>
          </cell>
        </row>
        <row r="3">
          <cell r="B3" t="str">
            <v>18.01.010</v>
          </cell>
          <cell r="C3" t="str">
            <v>Fio de cobre, tempera meio-duro, classe 1, com cobertura de PVC, tipo WPP, S.M. - 4 mm², inclusive assentamento.</v>
          </cell>
          <cell r="D3" t="str">
            <v>m</v>
          </cell>
          <cell r="F3">
            <v>0.97</v>
          </cell>
          <cell r="G3">
            <v>0</v>
          </cell>
        </row>
        <row r="4">
          <cell r="B4" t="str">
            <v>18.01.015</v>
          </cell>
          <cell r="C4" t="str">
            <v>Desativação da rede elétrica existente.</v>
          </cell>
          <cell r="D4" t="str">
            <v>vb</v>
          </cell>
          <cell r="F4">
            <v>283.14</v>
          </cell>
        </row>
        <row r="5">
          <cell r="B5" t="str">
            <v>18.01.016</v>
          </cell>
          <cell r="C5" t="str">
            <v>Revisão do circuito elétrico que alimenta as luminárias para lâmpadas vapor mercúrio (aproveitamento de 90 % da fiação existente).</v>
          </cell>
          <cell r="D5" t="str">
            <v>vb</v>
          </cell>
          <cell r="F5">
            <v>613.08000000000004</v>
          </cell>
        </row>
        <row r="6">
          <cell r="B6" t="str">
            <v>18.01.020</v>
          </cell>
          <cell r="C6" t="str">
            <v>Fio de cobre, tempera meio-duro, classe 1, com cobertura de PVC, tipo WPP, S.M. - 6 mm², inclusive assentamento.</v>
          </cell>
          <cell r="D6" t="str">
            <v>m</v>
          </cell>
          <cell r="F6">
            <v>1.1599999999999999</v>
          </cell>
          <cell r="G6">
            <v>0</v>
          </cell>
        </row>
        <row r="7">
          <cell r="B7" t="str">
            <v>18.01.025</v>
          </cell>
          <cell r="C7" t="str">
            <v>Fio de cobre, tempera meio-duro, classe 1, com cobertura de PVC, tipo WPP, S.M. - 10 mm², inclusive assentamento.</v>
          </cell>
          <cell r="D7" t="str">
            <v>m</v>
          </cell>
          <cell r="F7">
            <v>1.62</v>
          </cell>
          <cell r="G7">
            <v>0</v>
          </cell>
        </row>
        <row r="8">
          <cell r="B8" t="str">
            <v>18.01.030</v>
          </cell>
          <cell r="C8" t="str">
            <v>Cabo de cobre, tempera meio-duro, encordoamento classe 2, com cobertura de PVC, tipo WPP, S.M. - 10 mm², inclusive assentamento.</v>
          </cell>
          <cell r="D8" t="str">
            <v>m</v>
          </cell>
          <cell r="F8">
            <v>1.64</v>
          </cell>
          <cell r="G8">
            <v>0</v>
          </cell>
        </row>
        <row r="9">
          <cell r="B9" t="str">
            <v>18.01.040</v>
          </cell>
          <cell r="C9" t="str">
            <v>Cabo de cobre, tempera meio-duro, encordoamento classe 2, com cobertura de PVC, tipo WPP, S.M. - 16 mm², inclusive assentamento.</v>
          </cell>
          <cell r="D9" t="str">
            <v>m</v>
          </cell>
          <cell r="F9">
            <v>2.44</v>
          </cell>
          <cell r="G9">
            <v>0</v>
          </cell>
        </row>
        <row r="10">
          <cell r="B10" t="str">
            <v>18.01.050</v>
          </cell>
          <cell r="C10" t="str">
            <v>Cabo de cobre, tempera meio-duro, encordoamento classe 2, com cobertura de PVC, tipo WPP, S.M. - 25 mm², inclusive assentamento.</v>
          </cell>
          <cell r="D10" t="str">
            <v>m</v>
          </cell>
          <cell r="F10">
            <v>3.24</v>
          </cell>
          <cell r="G10">
            <v>0</v>
          </cell>
        </row>
        <row r="11">
          <cell r="B11" t="str">
            <v>18.01.060</v>
          </cell>
          <cell r="C11" t="str">
            <v xml:space="preserve">Fornecimento e instalação de cabo de cobre nutrancado e asete fios, de tempera mole, bitola de 16 mm2. </v>
          </cell>
          <cell r="D11" t="str">
            <v>m</v>
          </cell>
          <cell r="F11">
            <v>3.4</v>
          </cell>
          <cell r="G11">
            <v>0</v>
          </cell>
        </row>
        <row r="13">
          <cell r="B13" t="str">
            <v>18.02</v>
          </cell>
        </row>
        <row r="14">
          <cell r="B14" t="str">
            <v>18.02.005</v>
          </cell>
          <cell r="C14" t="str">
            <v>Colocação de poste de ferro</v>
          </cell>
          <cell r="D14" t="str">
            <v>m</v>
          </cell>
          <cell r="F14">
            <v>6.51</v>
          </cell>
          <cell r="G14">
            <v>0</v>
          </cell>
        </row>
        <row r="15">
          <cell r="B15" t="str">
            <v>18.02.010</v>
          </cell>
          <cell r="C15" t="str">
            <v>Retirada de postes de concreto secção duplo T200 / 8 com engastamento direto no solo de 1,40 m (Poste 184-570, 18570 e mais dois sem identificação)</v>
          </cell>
          <cell r="D15" t="str">
            <v>un</v>
          </cell>
          <cell r="F15">
            <v>51.97</v>
          </cell>
          <cell r="G15">
            <v>0</v>
          </cell>
        </row>
        <row r="16">
          <cell r="B16" t="str">
            <v>18.02.020</v>
          </cell>
          <cell r="C16" t="str">
            <v>Poste de concreto secção duplo T, 100/8, com engastamento direto no solo de 1,40 m, inclusive colocação.</v>
          </cell>
          <cell r="D16" t="str">
            <v>un</v>
          </cell>
          <cell r="F16">
            <v>141.27000000000001</v>
          </cell>
          <cell r="G16">
            <v>0</v>
          </cell>
        </row>
        <row r="17">
          <cell r="B17" t="str">
            <v>18.02.025</v>
          </cell>
          <cell r="C17" t="str">
            <v>Fornecimento e instalação de poste ornamental com h=4,0 m, sendo 1,0 m de enterrado, com 03 luminárias, vidro transparente modelo MLD 304 / B, bem como pintura á óleo, duas demãos, cor preta, conforme projeto.</v>
          </cell>
          <cell r="D17" t="str">
            <v>un</v>
          </cell>
          <cell r="F17">
            <v>239.88</v>
          </cell>
          <cell r="G17">
            <v>0</v>
          </cell>
        </row>
        <row r="18">
          <cell r="B18" t="str">
            <v>18.02.026</v>
          </cell>
          <cell r="C18" t="str">
            <v>Deslocamento de poste.</v>
          </cell>
          <cell r="D18" t="str">
            <v>un</v>
          </cell>
          <cell r="F18">
            <v>67.33</v>
          </cell>
          <cell r="G18">
            <v>0</v>
          </cell>
        </row>
        <row r="19">
          <cell r="B19" t="str">
            <v>18.02.030</v>
          </cell>
          <cell r="C19" t="str">
            <v>Poste de concreto secção duplo T, 200/8, com engastamento direto no solo de 1,40 m, inclusive colocação.</v>
          </cell>
          <cell r="D19" t="str">
            <v>un</v>
          </cell>
          <cell r="F19">
            <v>160.6</v>
          </cell>
          <cell r="G19">
            <v>0</v>
          </cell>
        </row>
        <row r="20">
          <cell r="B20" t="str">
            <v>18.02.040</v>
          </cell>
          <cell r="C20" t="str">
            <v>Poste de concreto secção duplo T, 200/12, com engastamento direto no solo de 1,80 m, inclusive colocação.</v>
          </cell>
          <cell r="D20" t="str">
            <v>un</v>
          </cell>
          <cell r="F20">
            <v>264.32</v>
          </cell>
          <cell r="G20">
            <v>0</v>
          </cell>
        </row>
        <row r="21">
          <cell r="B21" t="str">
            <v>18.02.045</v>
          </cell>
          <cell r="C21" t="str">
            <v>Poste de concreto secção duplo T, 300/8, com engastamento direto no solo de 1,40 m, inclusive colocação.</v>
          </cell>
          <cell r="D21" t="str">
            <v>un</v>
          </cell>
          <cell r="F21">
            <v>193.4</v>
          </cell>
          <cell r="G21">
            <v>0</v>
          </cell>
        </row>
        <row r="22">
          <cell r="B22" t="str">
            <v>18.02.050</v>
          </cell>
          <cell r="C22" t="str">
            <v>Poste de concreto secção duplo T, 300/12, com engastamento direto no solo de 1,80 m, inclusive colocação.</v>
          </cell>
          <cell r="D22" t="str">
            <v>un</v>
          </cell>
          <cell r="F22">
            <v>55.74</v>
          </cell>
          <cell r="G22">
            <v>0</v>
          </cell>
        </row>
        <row r="23">
          <cell r="B23" t="str">
            <v>18.02.051</v>
          </cell>
          <cell r="C23" t="str">
            <v xml:space="preserve">Super poste de concreto armado circular com altura de 20 m. </v>
          </cell>
          <cell r="D23" t="str">
            <v>un</v>
          </cell>
          <cell r="F23">
            <v>2209.3200000000002</v>
          </cell>
          <cell r="G23">
            <v>0</v>
          </cell>
        </row>
        <row r="24">
          <cell r="B24" t="str">
            <v>18.02.060</v>
          </cell>
          <cell r="C24" t="str">
            <v>Poste de concreto c/ seção circular c/ iluminação de 3 pétalas c/ altura de 8 m inclusive colocação, fixação e base de concreto p/ fixação</v>
          </cell>
          <cell r="D24" t="str">
            <v>un</v>
          </cell>
          <cell r="F24">
            <v>888.06</v>
          </cell>
        </row>
        <row r="25">
          <cell r="B25" t="str">
            <v>18.02.070</v>
          </cell>
          <cell r="C25" t="str">
            <v>Poste ornamental.</v>
          </cell>
          <cell r="D25" t="str">
            <v>un</v>
          </cell>
          <cell r="F25">
            <v>210.72</v>
          </cell>
        </row>
        <row r="26">
          <cell r="B26" t="str">
            <v>18.02.071</v>
          </cell>
          <cell r="C26" t="str">
            <v>Poste em concreto vibrado seção circular 9 m - 200 kg</v>
          </cell>
          <cell r="D26" t="str">
            <v>un</v>
          </cell>
          <cell r="F26">
            <v>216</v>
          </cell>
        </row>
        <row r="27">
          <cell r="B27" t="str">
            <v>18.02.080</v>
          </cell>
          <cell r="C27" t="str">
            <v>Fornecimento e instalação de rele fotoelétrico, 1000 w - 220 v.</v>
          </cell>
          <cell r="D27" t="str">
            <v>un</v>
          </cell>
          <cell r="F27">
            <v>18</v>
          </cell>
        </row>
        <row r="29">
          <cell r="B29" t="str">
            <v>18.03</v>
          </cell>
        </row>
        <row r="30">
          <cell r="B30" t="str">
            <v>18.03.010</v>
          </cell>
          <cell r="C30" t="str">
            <v>Estrutura secundária B1 completa, inclusive fixação.</v>
          </cell>
          <cell r="D30" t="str">
            <v>un</v>
          </cell>
          <cell r="F30">
            <v>29.1</v>
          </cell>
          <cell r="G30">
            <v>0</v>
          </cell>
        </row>
        <row r="31">
          <cell r="B31" t="str">
            <v>18.03.015</v>
          </cell>
          <cell r="C31" t="str">
            <v>Estrutura secundária B2 completa, inclusive fixação.</v>
          </cell>
          <cell r="D31" t="str">
            <v>un</v>
          </cell>
          <cell r="F31">
            <v>35.21</v>
          </cell>
          <cell r="G31">
            <v>0</v>
          </cell>
        </row>
        <row r="32">
          <cell r="B32" t="str">
            <v>18.03.020</v>
          </cell>
          <cell r="C32" t="str">
            <v>Estrutura secundária B3 completa, inclusive fixação.</v>
          </cell>
          <cell r="D32" t="str">
            <v>un</v>
          </cell>
          <cell r="F32">
            <v>59.23</v>
          </cell>
          <cell r="G32">
            <v>0</v>
          </cell>
        </row>
        <row r="33">
          <cell r="B33" t="str">
            <v>18.03.030</v>
          </cell>
          <cell r="C33" t="str">
            <v>Estrutura secundária B4 completa, inclusive fixação.</v>
          </cell>
          <cell r="D33" t="str">
            <v>un</v>
          </cell>
          <cell r="F33">
            <v>65.989999999999995</v>
          </cell>
          <cell r="G33">
            <v>0</v>
          </cell>
        </row>
        <row r="34">
          <cell r="B34" t="str">
            <v>18.03.031</v>
          </cell>
          <cell r="C34" t="str">
            <v>Cabo de iluminação 1/0 AWG - NU</v>
          </cell>
          <cell r="D34" t="str">
            <v>m</v>
          </cell>
          <cell r="F34">
            <v>19.54</v>
          </cell>
          <cell r="G34">
            <v>0</v>
          </cell>
        </row>
        <row r="35">
          <cell r="B35" t="str">
            <v>18.03.032</v>
          </cell>
          <cell r="C35" t="str">
            <v>Isoladores tipo castanha</v>
          </cell>
          <cell r="D35" t="str">
            <v>un</v>
          </cell>
          <cell r="F35">
            <v>17.399999999999999</v>
          </cell>
          <cell r="G35">
            <v>0</v>
          </cell>
        </row>
        <row r="36">
          <cell r="B36" t="str">
            <v>18.03.033</v>
          </cell>
          <cell r="C36" t="str">
            <v>Foto célula tipo NA.</v>
          </cell>
          <cell r="D36" t="str">
            <v>un</v>
          </cell>
          <cell r="F36">
            <v>12.77</v>
          </cell>
          <cell r="G36">
            <v>0</v>
          </cell>
        </row>
        <row r="38">
          <cell r="B38" t="str">
            <v>18.04</v>
          </cell>
        </row>
        <row r="39">
          <cell r="B39" t="str">
            <v>18.04.010</v>
          </cell>
          <cell r="C39" t="str">
            <v>Eletroduto de ferro galvanizado de 3/4 pol., inclusive assentamento.</v>
          </cell>
          <cell r="D39" t="str">
            <v>m</v>
          </cell>
          <cell r="F39">
            <v>4.9000000000000004</v>
          </cell>
          <cell r="G39">
            <v>0</v>
          </cell>
        </row>
        <row r="40">
          <cell r="B40" t="str">
            <v>18.04.020</v>
          </cell>
          <cell r="C40" t="str">
            <v>Eletroduto de ferro galvanizado de 1 pol., inclusive assentamento.</v>
          </cell>
          <cell r="D40" t="str">
            <v>m</v>
          </cell>
          <cell r="F40">
            <v>7.43</v>
          </cell>
          <cell r="G40">
            <v>0</v>
          </cell>
        </row>
        <row r="41">
          <cell r="B41" t="str">
            <v>18.04.030</v>
          </cell>
          <cell r="C41" t="str">
            <v>Eletroduto de ferro galvanizado de 1 1/2 pol., inclusive assentamento.</v>
          </cell>
          <cell r="D41" t="str">
            <v>m</v>
          </cell>
          <cell r="F41">
            <v>11.76</v>
          </cell>
          <cell r="G41">
            <v>0</v>
          </cell>
        </row>
        <row r="42">
          <cell r="B42" t="str">
            <v>18.04.040</v>
          </cell>
          <cell r="C42" t="str">
            <v>Eletroduto de ferro galvanizado de 2 pol., inclusive assentamento.</v>
          </cell>
          <cell r="D42" t="str">
            <v>m</v>
          </cell>
          <cell r="F42">
            <v>15.46</v>
          </cell>
          <cell r="G42">
            <v>0</v>
          </cell>
        </row>
        <row r="43">
          <cell r="B43" t="str">
            <v>18.04.050</v>
          </cell>
          <cell r="C43" t="str">
            <v>Eletroduto de ferro galvanizado de 2 1/2 pol., inclusive assentamento.</v>
          </cell>
          <cell r="D43" t="str">
            <v>m</v>
          </cell>
          <cell r="F43">
            <v>23.01</v>
          </cell>
          <cell r="G43">
            <v>0</v>
          </cell>
        </row>
        <row r="44">
          <cell r="B44" t="str">
            <v>18.04.060</v>
          </cell>
          <cell r="C44" t="str">
            <v>Eletroduto de ferro galvanizado de 4 pol., inclusive assentamento.</v>
          </cell>
          <cell r="D44" t="str">
            <v>m</v>
          </cell>
          <cell r="F44">
            <v>37.299999999999997</v>
          </cell>
          <cell r="G44">
            <v>0</v>
          </cell>
        </row>
        <row r="45">
          <cell r="B45" t="str">
            <v>18.04.061</v>
          </cell>
          <cell r="C45" t="str">
            <v>Eletroduto de PVC rígido de 11/2" com luva de rosca interna, inclusive assentamento</v>
          </cell>
          <cell r="D45" t="str">
            <v>un</v>
          </cell>
          <cell r="F45">
            <v>6.33</v>
          </cell>
        </row>
        <row r="47">
          <cell r="B47" t="str">
            <v>18.05</v>
          </cell>
        </row>
        <row r="48">
          <cell r="B48" t="str">
            <v>18.05.010</v>
          </cell>
          <cell r="C48" t="str">
            <v>Curva de ferro galvanizado de 3/4 pol., inclusive assentamento.</v>
          </cell>
          <cell r="D48" t="str">
            <v>un</v>
          </cell>
          <cell r="F48">
            <v>3.1</v>
          </cell>
          <cell r="G48">
            <v>0</v>
          </cell>
        </row>
        <row r="49">
          <cell r="B49" t="str">
            <v>18.05.020</v>
          </cell>
          <cell r="C49" t="str">
            <v>Curva de ferro galvanizado de 1 pol., inclusive assentamento.</v>
          </cell>
          <cell r="D49" t="str">
            <v>un</v>
          </cell>
          <cell r="F49">
            <v>4.53</v>
          </cell>
          <cell r="G49">
            <v>0</v>
          </cell>
        </row>
        <row r="50">
          <cell r="B50" t="str">
            <v>18.05.030</v>
          </cell>
          <cell r="C50" t="str">
            <v>Curva de ferro galvanizado de 1 1/2 pol., inclusive assentamento.</v>
          </cell>
          <cell r="D50" t="str">
            <v>un</v>
          </cell>
          <cell r="F50">
            <v>10.41</v>
          </cell>
          <cell r="G50">
            <v>0</v>
          </cell>
        </row>
        <row r="51">
          <cell r="B51" t="str">
            <v>18.05.040</v>
          </cell>
          <cell r="C51" t="str">
            <v>Curva de ferro galvanizado de 2 pol., inclusive assentamento.</v>
          </cell>
          <cell r="D51" t="str">
            <v>un</v>
          </cell>
          <cell r="F51">
            <v>16.78</v>
          </cell>
          <cell r="G51">
            <v>0</v>
          </cell>
        </row>
        <row r="52">
          <cell r="B52" t="str">
            <v>18.05.050</v>
          </cell>
          <cell r="C52" t="str">
            <v>Curva de ferro galvanizado de 2 1/2 pol., inclusive assentamento.</v>
          </cell>
          <cell r="D52" t="str">
            <v>un</v>
          </cell>
          <cell r="F52">
            <v>36.65</v>
          </cell>
          <cell r="G52">
            <v>0</v>
          </cell>
        </row>
        <row r="53">
          <cell r="B53" t="str">
            <v>18.05.060</v>
          </cell>
          <cell r="C53" t="str">
            <v>Curva de ferro galvanizado de 4 pol., inclusive assentamento.</v>
          </cell>
          <cell r="D53" t="str">
            <v>un</v>
          </cell>
          <cell r="F53">
            <v>76.64</v>
          </cell>
          <cell r="G53">
            <v>0</v>
          </cell>
        </row>
        <row r="54">
          <cell r="B54" t="str">
            <v>18.05.065</v>
          </cell>
          <cell r="C54" t="str">
            <v>Fornecimento e assentamento de haste de aterramento 5/8" x 2,40 m coppereweld</v>
          </cell>
          <cell r="D54" t="str">
            <v>un</v>
          </cell>
          <cell r="F54">
            <v>22.22</v>
          </cell>
        </row>
        <row r="56">
          <cell r="B56" t="str">
            <v>18.06</v>
          </cell>
        </row>
        <row r="57">
          <cell r="B57" t="str">
            <v>18.06.010</v>
          </cell>
          <cell r="C57" t="str">
            <v>Luva de ferro galvanizado de 3/4 pol., inclusive assentamento.</v>
          </cell>
          <cell r="D57" t="str">
            <v>un</v>
          </cell>
          <cell r="F57">
            <v>1.1299999999999999</v>
          </cell>
          <cell r="G57">
            <v>0</v>
          </cell>
        </row>
        <row r="58">
          <cell r="B58" t="str">
            <v>18.06.020</v>
          </cell>
          <cell r="C58" t="str">
            <v>Luva de ferro galvanizado de 1 pol., inclusive assentamento.</v>
          </cell>
          <cell r="D58" t="str">
            <v>un</v>
          </cell>
          <cell r="F58">
            <v>1.68</v>
          </cell>
          <cell r="G58">
            <v>0</v>
          </cell>
        </row>
        <row r="59">
          <cell r="B59" t="str">
            <v>18.06.030</v>
          </cell>
          <cell r="C59" t="str">
            <v>Luva de ferro galvanizado de 1 1/2 pol., inclusive assentamento.</v>
          </cell>
          <cell r="D59" t="str">
            <v>un</v>
          </cell>
          <cell r="F59">
            <v>2.91</v>
          </cell>
          <cell r="G59">
            <v>0</v>
          </cell>
        </row>
        <row r="60">
          <cell r="B60" t="str">
            <v>18.06.040</v>
          </cell>
          <cell r="C60" t="str">
            <v>Luva de ferro galvanizado de 2 pol., inclusive assentamento.</v>
          </cell>
          <cell r="D60" t="str">
            <v>un</v>
          </cell>
          <cell r="F60">
            <v>4.05</v>
          </cell>
          <cell r="G60">
            <v>0</v>
          </cell>
        </row>
        <row r="61">
          <cell r="B61" t="str">
            <v>18.06.050</v>
          </cell>
          <cell r="C61" t="str">
            <v>Luva de ferro galvanizado de 2 1/2 pol., inclusive assentamento.</v>
          </cell>
          <cell r="D61" t="str">
            <v>un</v>
          </cell>
          <cell r="F61">
            <v>7.16</v>
          </cell>
          <cell r="G61">
            <v>0</v>
          </cell>
        </row>
        <row r="62">
          <cell r="B62" t="str">
            <v>18.06.060</v>
          </cell>
          <cell r="C62" t="str">
            <v>Luva de ferro galvanizado de 4 pol., inclusive assentamento.</v>
          </cell>
          <cell r="D62" t="str">
            <v>un</v>
          </cell>
          <cell r="F62">
            <v>13.42</v>
          </cell>
          <cell r="G62">
            <v>0</v>
          </cell>
        </row>
        <row r="63">
          <cell r="B63" t="str">
            <v>18.06.061</v>
          </cell>
          <cell r="C63" t="str">
            <v>Luva de PVC rígido diâmetro de 2".</v>
          </cell>
          <cell r="D63" t="str">
            <v>un</v>
          </cell>
          <cell r="F63">
            <v>1.93</v>
          </cell>
          <cell r="G63">
            <v>0</v>
          </cell>
        </row>
        <row r="64">
          <cell r="B64" t="str">
            <v>18.06.062</v>
          </cell>
          <cell r="C64" t="str">
            <v>Luva de emenda para cabo 10 mm</v>
          </cell>
          <cell r="D64" t="str">
            <v>un</v>
          </cell>
          <cell r="F64">
            <v>0.35</v>
          </cell>
        </row>
        <row r="66">
          <cell r="B66" t="str">
            <v>18.07</v>
          </cell>
        </row>
        <row r="67">
          <cell r="B67" t="str">
            <v>18.07.010</v>
          </cell>
          <cell r="C67" t="str">
            <v>Jogo de bucha e arruela de alumínio de 1/2 pol., inclusive fixação.</v>
          </cell>
          <cell r="D67" t="str">
            <v>cj</v>
          </cell>
          <cell r="F67">
            <v>0.27</v>
          </cell>
          <cell r="G67">
            <v>0</v>
          </cell>
        </row>
        <row r="68">
          <cell r="B68" t="str">
            <v>18.07.020</v>
          </cell>
          <cell r="C68" t="str">
            <v>Jogo de bucha e arruela de alumínio de 3/4 pol., inclusive fixação.</v>
          </cell>
          <cell r="D68" t="str">
            <v>cj</v>
          </cell>
          <cell r="F68">
            <v>0.28999999999999998</v>
          </cell>
          <cell r="G68">
            <v>0</v>
          </cell>
        </row>
        <row r="69">
          <cell r="B69" t="str">
            <v>18.07.030</v>
          </cell>
          <cell r="C69" t="str">
            <v>Jogo de bucha e arruela de alumínio de 1 pol., inclusive fixação.</v>
          </cell>
          <cell r="D69" t="str">
            <v>cj</v>
          </cell>
          <cell r="F69">
            <v>0.45</v>
          </cell>
          <cell r="G69">
            <v>0</v>
          </cell>
        </row>
        <row r="70">
          <cell r="B70" t="str">
            <v>18.07.040</v>
          </cell>
          <cell r="C70" t="str">
            <v>Jogo de bucha e arruela de alumínio de 1 1/2 pol., inclusive fixação.</v>
          </cell>
          <cell r="D70" t="str">
            <v>cj</v>
          </cell>
          <cell r="F70">
            <v>0.85</v>
          </cell>
          <cell r="G70">
            <v>0</v>
          </cell>
        </row>
        <row r="71">
          <cell r="B71" t="str">
            <v>18.07.050</v>
          </cell>
          <cell r="C71" t="str">
            <v>Jogo de bucha e arruela de alumínio de 2 pol., inclusive fixação.</v>
          </cell>
          <cell r="D71" t="str">
            <v>cj</v>
          </cell>
          <cell r="F71">
            <v>1.64</v>
          </cell>
          <cell r="G71">
            <v>0</v>
          </cell>
        </row>
        <row r="72">
          <cell r="B72" t="str">
            <v>18.07.060</v>
          </cell>
          <cell r="C72" t="str">
            <v>Jogo de bucha e arruela de alumínio de 2 1/2 pol., inclusive fixação.</v>
          </cell>
          <cell r="D72" t="str">
            <v>cj</v>
          </cell>
          <cell r="F72">
            <v>2.39</v>
          </cell>
          <cell r="G72">
            <v>0</v>
          </cell>
        </row>
        <row r="73">
          <cell r="B73" t="str">
            <v>18.07.070</v>
          </cell>
          <cell r="C73" t="str">
            <v>Jogo de bucha e arruela de alumínio de 3 pol., inclusive fixação.</v>
          </cell>
          <cell r="D73" t="str">
            <v>cj</v>
          </cell>
          <cell r="F73">
            <v>3.79</v>
          </cell>
          <cell r="G73">
            <v>0</v>
          </cell>
        </row>
        <row r="74">
          <cell r="B74" t="str">
            <v>18.07.072</v>
          </cell>
          <cell r="C74" t="str">
            <v>Ganchos de 5/16".</v>
          </cell>
          <cell r="D74" t="str">
            <v>un</v>
          </cell>
          <cell r="F74">
            <v>0.8</v>
          </cell>
          <cell r="G74">
            <v>0</v>
          </cell>
        </row>
        <row r="75">
          <cell r="B75" t="str">
            <v>18.07.080</v>
          </cell>
          <cell r="C75" t="str">
            <v>Jogo de bucha e arruela de alumínio de 4 pol., inclusive fixação.</v>
          </cell>
          <cell r="D75" t="str">
            <v>cj</v>
          </cell>
          <cell r="F75">
            <v>5.31</v>
          </cell>
          <cell r="G75">
            <v>0</v>
          </cell>
        </row>
        <row r="77">
          <cell r="B77" t="str">
            <v>18.08</v>
          </cell>
        </row>
        <row r="78">
          <cell r="B78" t="str">
            <v>18.08.010</v>
          </cell>
          <cell r="C78" t="str">
            <v>Caixa para medição monofásica uso interno, inclusive colocação (padrão CELPE).</v>
          </cell>
          <cell r="D78" t="str">
            <v>un</v>
          </cell>
          <cell r="F78">
            <v>38.5</v>
          </cell>
          <cell r="G78">
            <v>0</v>
          </cell>
        </row>
        <row r="79">
          <cell r="B79" t="str">
            <v>18.08.020</v>
          </cell>
          <cell r="C79" t="str">
            <v>Caixa para medição monofásica uso externo, inclusive colocação (padrão CELPE).</v>
          </cell>
          <cell r="D79" t="str">
            <v>un</v>
          </cell>
          <cell r="F79">
            <v>48.6</v>
          </cell>
          <cell r="G79">
            <v>0</v>
          </cell>
        </row>
        <row r="81">
          <cell r="B81" t="str">
            <v>18.09</v>
          </cell>
        </row>
        <row r="82">
          <cell r="B82" t="str">
            <v>18.09.010</v>
          </cell>
          <cell r="C82" t="str">
            <v>Caixa para medição trifásica uso interno, modelo D, inclusive colocação (padrão CELPE).</v>
          </cell>
          <cell r="D82" t="str">
            <v>un</v>
          </cell>
          <cell r="F82">
            <v>82.93</v>
          </cell>
          <cell r="G82">
            <v>0</v>
          </cell>
        </row>
        <row r="83">
          <cell r="B83" t="str">
            <v>18.09.020</v>
          </cell>
          <cell r="C83" t="str">
            <v>Caixa para medição trifásica uso externo, modelo D, inclusive colocação (padrão CELPE).</v>
          </cell>
          <cell r="D83" t="str">
            <v>un</v>
          </cell>
          <cell r="F83">
            <v>104.26</v>
          </cell>
          <cell r="G83">
            <v>0</v>
          </cell>
        </row>
        <row r="85">
          <cell r="B85" t="str">
            <v>18.10</v>
          </cell>
        </row>
        <row r="86">
          <cell r="B86" t="str">
            <v>18.10.020</v>
          </cell>
          <cell r="C86" t="str">
            <v>Chave de faca de 2 polos, 30 A, 250 V, com base de ardósia, com 02 fusíveis tipo cartucho e parafusos, inclusive instalação em quadro de medição.</v>
          </cell>
          <cell r="D86" t="str">
            <v>un</v>
          </cell>
          <cell r="F86">
            <v>11.1</v>
          </cell>
          <cell r="G86">
            <v>0</v>
          </cell>
        </row>
        <row r="87">
          <cell r="B87" t="str">
            <v>18.10.030</v>
          </cell>
          <cell r="C87" t="str">
            <v>Chave de faca de 2 polos, 60 A, 250 V, com base de ardósia, com 02 fusíveis tipo cartucho e parafusos, inclusive instalação em quadro de medição.</v>
          </cell>
          <cell r="D87" t="str">
            <v>un</v>
          </cell>
          <cell r="F87">
            <v>16.3</v>
          </cell>
          <cell r="G87">
            <v>0</v>
          </cell>
        </row>
        <row r="88">
          <cell r="B88" t="str">
            <v>18.10.040</v>
          </cell>
          <cell r="C88" t="str">
            <v>Chave de faca de 3 polos, 60 A, 600 V, com base de ardósia, com 03 fusíveis tipo cartucho e parafusos, inclusive instalação em quadro de medição.</v>
          </cell>
          <cell r="D88" t="str">
            <v>un</v>
          </cell>
          <cell r="F88">
            <v>31.96</v>
          </cell>
          <cell r="G88">
            <v>0</v>
          </cell>
        </row>
        <row r="89">
          <cell r="B89" t="str">
            <v>18.10.050</v>
          </cell>
          <cell r="C89" t="str">
            <v>Chave de faca de 3 polos, 100 A, 600 V, com base de ardósia, com 03 fusíveis tipo cartucho e parafusos, inclusive instalação em quadro de medição.</v>
          </cell>
          <cell r="D89" t="str">
            <v>un</v>
          </cell>
          <cell r="F89">
            <v>57.62</v>
          </cell>
          <cell r="G89">
            <v>0</v>
          </cell>
        </row>
        <row r="90">
          <cell r="B90" t="str">
            <v>18.10.060</v>
          </cell>
          <cell r="C90" t="str">
            <v>Chave seccionadora com fusível, 125A, tipo 3NP4090 SIEMENS ou similar, tripolar com 03 fusíveis NH tamanho 00 e parafusos, inclusive instalação em quadro de medição.</v>
          </cell>
          <cell r="D90" t="str">
            <v>un</v>
          </cell>
          <cell r="F90">
            <v>85.08</v>
          </cell>
          <cell r="G90">
            <v>0</v>
          </cell>
        </row>
        <row r="91">
          <cell r="B91" t="str">
            <v>18.10.070</v>
          </cell>
          <cell r="C91" t="str">
            <v>Chave seccionadora com fusível, 250A, tipo 3NP2200 SIEMENS ou similar, tripolar com 03 fusíveis NH tamanho 01 e parafusos, inclusive instalação em quadro de medição.</v>
          </cell>
          <cell r="D91" t="str">
            <v>un</v>
          </cell>
          <cell r="F91">
            <v>141.25</v>
          </cell>
          <cell r="G91">
            <v>0</v>
          </cell>
        </row>
        <row r="93">
          <cell r="B93" t="str">
            <v>18.11</v>
          </cell>
        </row>
        <row r="94">
          <cell r="B94" t="str">
            <v>18.11.030</v>
          </cell>
          <cell r="C94" t="str">
            <v>Base para fusível tipo NH de 6 A a 125A, tamanho 00, SIEMENS ou similar, com parafusos, inclusive instalação em quadro.</v>
          </cell>
          <cell r="D94" t="str">
            <v>un</v>
          </cell>
          <cell r="F94">
            <v>9.09</v>
          </cell>
          <cell r="G94">
            <v>0</v>
          </cell>
        </row>
        <row r="95">
          <cell r="B95" t="str">
            <v>18.11.040</v>
          </cell>
          <cell r="C95" t="str">
            <v>Base para fusível tipo NH de 36 A a 250A, tamanho 1, SIEMENS ou similar, com parafusos, inclusive instalação em quadro.</v>
          </cell>
          <cell r="D95" t="str">
            <v>un</v>
          </cell>
          <cell r="F95">
            <v>17.96</v>
          </cell>
          <cell r="G95">
            <v>0</v>
          </cell>
        </row>
        <row r="97">
          <cell r="B97" t="str">
            <v>18.12</v>
          </cell>
        </row>
        <row r="98">
          <cell r="B98" t="str">
            <v>18.12.070</v>
          </cell>
          <cell r="C98" t="str">
            <v>Fusível tipo NH de 20A, tamanho 00, SIEMENS ou similar, inclusive instalação em quadro.</v>
          </cell>
          <cell r="D98" t="str">
            <v>un</v>
          </cell>
          <cell r="F98">
            <v>5.67</v>
          </cell>
          <cell r="G98">
            <v>0</v>
          </cell>
        </row>
        <row r="99">
          <cell r="B99" t="str">
            <v>18.12.080</v>
          </cell>
          <cell r="C99" t="str">
            <v>Fusível tipo NH de 25A, tamanho 00, SIEMENS ou similar, inclusive instalação em quadro.</v>
          </cell>
          <cell r="D99" t="str">
            <v>un</v>
          </cell>
          <cell r="F99">
            <v>5.67</v>
          </cell>
          <cell r="G99">
            <v>0</v>
          </cell>
        </row>
        <row r="100">
          <cell r="B100" t="str">
            <v>18.12.090</v>
          </cell>
          <cell r="C100" t="str">
            <v>Fusível tipo NH de 36A, tamanho 00, SIEMENS ou similar, inclusive instalação em quadro.</v>
          </cell>
          <cell r="D100" t="str">
            <v>un</v>
          </cell>
          <cell r="F100">
            <v>5.67</v>
          </cell>
          <cell r="G100">
            <v>0</v>
          </cell>
        </row>
        <row r="101">
          <cell r="B101" t="str">
            <v>18.12.100</v>
          </cell>
          <cell r="C101" t="str">
            <v>Fusível tipo NH de 50A, tamanho 00, SIEMENS ou similar, inclusive instalação em quadro.</v>
          </cell>
          <cell r="D101" t="str">
            <v>un</v>
          </cell>
          <cell r="F101">
            <v>5.67</v>
          </cell>
          <cell r="G101">
            <v>0</v>
          </cell>
        </row>
        <row r="102">
          <cell r="B102" t="str">
            <v>18.12.110</v>
          </cell>
          <cell r="C102" t="str">
            <v>Fusível tipo NH de 63A, tamanho 00, SIEMENS ou similar, inclusive instalação em quadro.</v>
          </cell>
          <cell r="D102" t="str">
            <v>un</v>
          </cell>
          <cell r="F102">
            <v>5.67</v>
          </cell>
          <cell r="G102">
            <v>0</v>
          </cell>
        </row>
        <row r="103">
          <cell r="B103" t="str">
            <v>18.12.120</v>
          </cell>
          <cell r="C103" t="str">
            <v>Fusível tipo NH de 80A, tamanho 00, SIEMENS ou similar, inclusive instalação em quadro.</v>
          </cell>
          <cell r="D103" t="str">
            <v>un</v>
          </cell>
          <cell r="F103">
            <v>5.67</v>
          </cell>
          <cell r="G103">
            <v>0</v>
          </cell>
        </row>
        <row r="104">
          <cell r="B104" t="str">
            <v>18.12.130</v>
          </cell>
          <cell r="C104" t="str">
            <v>Fusível tipo NH de 100A, tamanho 00, SIEMENS ou similar, inclusive instalação em quadro.</v>
          </cell>
          <cell r="D104" t="str">
            <v>un</v>
          </cell>
          <cell r="F104">
            <v>5.67</v>
          </cell>
          <cell r="G104">
            <v>0</v>
          </cell>
        </row>
        <row r="105">
          <cell r="B105" t="str">
            <v>18.12.140</v>
          </cell>
          <cell r="C105" t="str">
            <v>Fusível tipo NH de 125A, tamanho 00, SIEMENS ou similar, inclusive instalação em quadro.</v>
          </cell>
          <cell r="D105" t="str">
            <v>un</v>
          </cell>
          <cell r="F105">
            <v>5.67</v>
          </cell>
          <cell r="G105">
            <v>0</v>
          </cell>
        </row>
        <row r="106">
          <cell r="B106" t="str">
            <v>18.12.150</v>
          </cell>
          <cell r="C106" t="str">
            <v>Fusível tipo NH de 160A, tamanho 01, SIEMENS ou similar, inclusive instalação em quadro.</v>
          </cell>
          <cell r="D106" t="str">
            <v>un</v>
          </cell>
          <cell r="F106">
            <v>12.26</v>
          </cell>
          <cell r="G106">
            <v>0</v>
          </cell>
        </row>
        <row r="107">
          <cell r="B107" t="str">
            <v>18.12.160</v>
          </cell>
          <cell r="C107" t="str">
            <v>Fusível tipo NH de 200A, tamanho 01, SIEMENS ou similar, inclusive instalação em quadro.</v>
          </cell>
          <cell r="D107" t="str">
            <v>un</v>
          </cell>
          <cell r="F107">
            <v>12.26</v>
          </cell>
          <cell r="G107">
            <v>0</v>
          </cell>
        </row>
        <row r="108">
          <cell r="B108" t="str">
            <v>18.12.170</v>
          </cell>
          <cell r="C108" t="str">
            <v>Fusível tipo NH de 250A, tamanho 1, SIEMENS ou similar, inclusive instalação em quadro.</v>
          </cell>
          <cell r="D108" t="str">
            <v>un</v>
          </cell>
          <cell r="F108">
            <v>12.26</v>
          </cell>
          <cell r="G108">
            <v>0</v>
          </cell>
        </row>
        <row r="110">
          <cell r="B110" t="str">
            <v>18.13</v>
          </cell>
        </row>
        <row r="111">
          <cell r="B111" t="str">
            <v>18.13.005</v>
          </cell>
          <cell r="C111" t="str">
            <v>Eletroduto flexível preto de 1", assentado em valas com profundidade de 0,60 m, inclusive escavação e reaterro.</v>
          </cell>
          <cell r="D111" t="str">
            <v>m</v>
          </cell>
          <cell r="F111">
            <v>3.1</v>
          </cell>
          <cell r="G111">
            <v>0</v>
          </cell>
        </row>
        <row r="112">
          <cell r="B112" t="str">
            <v>18.13.010</v>
          </cell>
          <cell r="C112" t="str">
            <v>Eletroduto de PVC rígido rosqueável de 1/2 pol., com luva de rosca interna, inclusive assentamento em lajes.</v>
          </cell>
          <cell r="D112" t="str">
            <v>m</v>
          </cell>
          <cell r="F112">
            <v>1.46</v>
          </cell>
          <cell r="G112">
            <v>0</v>
          </cell>
        </row>
        <row r="113">
          <cell r="B113" t="str">
            <v>18.13.020</v>
          </cell>
          <cell r="C113" t="str">
            <v>Eletroduto de PVC rígido rosqueável de 3/4 pol., com luva de rosca interna, inclusive assentamento em lajes.</v>
          </cell>
          <cell r="D113" t="str">
            <v>m</v>
          </cell>
          <cell r="F113">
            <v>1.51</v>
          </cell>
          <cell r="G113">
            <v>0</v>
          </cell>
        </row>
        <row r="114">
          <cell r="B114" t="str">
            <v>18.13.030</v>
          </cell>
          <cell r="C114" t="str">
            <v>Eletroduto de PVC rígido rosqueável de 1 pol., com luva de rosca interna, inclusive assentamento em lajes.</v>
          </cell>
          <cell r="D114" t="str">
            <v>m</v>
          </cell>
          <cell r="F114">
            <v>2.54</v>
          </cell>
          <cell r="G114">
            <v>0</v>
          </cell>
        </row>
        <row r="115">
          <cell r="B115" t="str">
            <v>18.13.040</v>
          </cell>
          <cell r="C115" t="str">
            <v>Eletroduto de PVC rígido rosqueável de 1/2 pol., com luva de rosca interna, inclusive assentamento com rasgo em alvenaria.</v>
          </cell>
          <cell r="D115" t="str">
            <v>m</v>
          </cell>
          <cell r="F115">
            <v>2.23</v>
          </cell>
          <cell r="G115">
            <v>0</v>
          </cell>
        </row>
        <row r="116">
          <cell r="B116" t="str">
            <v>18.13.050</v>
          </cell>
          <cell r="C116" t="str">
            <v>Eletroduto de PVC rígido rosqueável de 3/4 pol., com luva de rosca interna, inclusive assentamento com rasgo em alvenaria.</v>
          </cell>
          <cell r="D116" t="str">
            <v>m</v>
          </cell>
          <cell r="F116">
            <v>2.71</v>
          </cell>
          <cell r="G116">
            <v>0</v>
          </cell>
        </row>
        <row r="117">
          <cell r="B117" t="str">
            <v>18.13.060</v>
          </cell>
          <cell r="C117" t="str">
            <v>Eletroduto de PVC rígido rosqueável de 1 pol., com luva de rosca interna, inclusive assentamento com rasgo em alvenaria.</v>
          </cell>
          <cell r="D117" t="str">
            <v>m</v>
          </cell>
          <cell r="F117">
            <v>3.3</v>
          </cell>
          <cell r="G117">
            <v>0</v>
          </cell>
        </row>
        <row r="118">
          <cell r="B118" t="str">
            <v>18.12.070</v>
          </cell>
          <cell r="C118" t="str">
            <v>Eletroduto de PVC rígido rosqueável de 1 1/4 pol., com luva de rosca interna, inclusive assentamento com rasgo em alvenaria.</v>
          </cell>
          <cell r="D118" t="str">
            <v>m</v>
          </cell>
          <cell r="F118">
            <v>4.3099999999999996</v>
          </cell>
          <cell r="G118">
            <v>0</v>
          </cell>
        </row>
        <row r="119">
          <cell r="B119" t="str">
            <v>18.13.080</v>
          </cell>
          <cell r="C119" t="str">
            <v>Eletroduto de PVC rígido rosqueável de 1 1/2 pol., com luva de rosca interna, inclusive assentamento com rasgo em alvenaria.</v>
          </cell>
          <cell r="D119" t="str">
            <v>m</v>
          </cell>
          <cell r="F119">
            <v>5.65</v>
          </cell>
          <cell r="G119">
            <v>0</v>
          </cell>
        </row>
        <row r="120">
          <cell r="B120" t="str">
            <v>18.13.085</v>
          </cell>
          <cell r="C120" t="str">
            <v>Fornecimento e colocação de eletroduto de ferro galvanizado de 3 ".</v>
          </cell>
          <cell r="D120" t="str">
            <v>m</v>
          </cell>
          <cell r="F120">
            <v>29.91</v>
          </cell>
        </row>
        <row r="121">
          <cell r="B121" t="str">
            <v>18.13.086</v>
          </cell>
          <cell r="C121" t="str">
            <v>Fornecimento e instalação de quadro de distribuição para telefone.</v>
          </cell>
          <cell r="D121" t="str">
            <v>un</v>
          </cell>
          <cell r="F121">
            <v>96.07</v>
          </cell>
        </row>
        <row r="122">
          <cell r="B122" t="str">
            <v>18.13.090</v>
          </cell>
          <cell r="C122" t="str">
            <v>Eletroduto de PVC rígido rosqueável de 2 pol., com luva de rosca interna, inclusive assentamento com rasgo em alvenaria.</v>
          </cell>
          <cell r="D122" t="str">
            <v>m</v>
          </cell>
          <cell r="F122">
            <v>7.33</v>
          </cell>
          <cell r="G122">
            <v>0</v>
          </cell>
        </row>
        <row r="123">
          <cell r="B123" t="str">
            <v>18.13.100</v>
          </cell>
          <cell r="C123" t="str">
            <v>Eletroduto de PVC rígido rosqueável de 3 pol., com luva de rosca interna, inclusive assentamento com rasgo em alvenaria.</v>
          </cell>
          <cell r="D123" t="str">
            <v>m</v>
          </cell>
          <cell r="F123">
            <v>13.81</v>
          </cell>
          <cell r="G123">
            <v>0</v>
          </cell>
        </row>
        <row r="124">
          <cell r="B124" t="str">
            <v>18.13.110</v>
          </cell>
          <cell r="C124" t="str">
            <v>Eletroduto de PVC rígido rosqueável de 1/2 pol., com luva de rosca interna assentado em valas com profundidade de 0,60 m, inclusive escavação e reaterro.</v>
          </cell>
          <cell r="D124" t="str">
            <v>m</v>
          </cell>
          <cell r="F124">
            <v>3.33</v>
          </cell>
          <cell r="G124">
            <v>0</v>
          </cell>
        </row>
        <row r="125">
          <cell r="B125" t="str">
            <v>18.13.120</v>
          </cell>
          <cell r="C125" t="str">
            <v>Eletroduto de PVC rígido rosqueável de 3/4 pol., com luva de rosca interna assentado em valas com profundidade de 0,60 m, inclusive escavação e reaterro.</v>
          </cell>
          <cell r="D125" t="str">
            <v>m</v>
          </cell>
          <cell r="F125">
            <v>4.01</v>
          </cell>
          <cell r="G125">
            <v>0</v>
          </cell>
        </row>
        <row r="126">
          <cell r="B126" t="str">
            <v>18.13.130</v>
          </cell>
          <cell r="C126" t="str">
            <v>Eletroduto de PVC rígido rosqueável de 1 pol., com luva de rosca interna assentado em valas com profundidade de 0,60 m, inclusive escavação e reaterro.</v>
          </cell>
          <cell r="D126" t="str">
            <v>m</v>
          </cell>
          <cell r="F126">
            <v>5.39</v>
          </cell>
          <cell r="G126">
            <v>0</v>
          </cell>
        </row>
        <row r="127">
          <cell r="B127" t="str">
            <v>18.13.140</v>
          </cell>
          <cell r="C127" t="str">
            <v>Eletroduto de PVC rígido rosqueável de 1 1/2 pol., com luva de rosca interna assentado em valas com profundidade de 0,60 m, inclusive escavação e reaterro.</v>
          </cell>
          <cell r="D127" t="str">
            <v>m</v>
          </cell>
          <cell r="F127">
            <v>6.99</v>
          </cell>
          <cell r="G127">
            <v>0</v>
          </cell>
        </row>
        <row r="128">
          <cell r="B128" t="str">
            <v>18.13.150</v>
          </cell>
          <cell r="C128" t="str">
            <v>Eletroduto de PVC rígido rosqueável de 2 pol., com luva de rosca interna assentado em valas com profundidade de 0,60 m, inclusive escavação e reaterro.</v>
          </cell>
          <cell r="D128" t="str">
            <v>m</v>
          </cell>
          <cell r="F128">
            <v>8.6199999999999992</v>
          </cell>
          <cell r="G128">
            <v>0</v>
          </cell>
        </row>
        <row r="129">
          <cell r="B129" t="str">
            <v>18.13.160</v>
          </cell>
          <cell r="C129" t="str">
            <v>Eletroduto de PVC rígido rosqueável de 3 pol., com luva de rosca interna assentado em valas com profundidade de 0,60 m, inclusive escavação e reaterro.</v>
          </cell>
          <cell r="D129" t="str">
            <v>m</v>
          </cell>
          <cell r="F129">
            <v>15.23</v>
          </cell>
          <cell r="G129">
            <v>0</v>
          </cell>
        </row>
        <row r="130">
          <cell r="B130" t="str">
            <v>18.13.170</v>
          </cell>
          <cell r="C130" t="str">
            <v>Eletroduto de PVC rígido rosqueável de 4 pol., com luva de rosca interna assentado em valas com profundidade de 0,60 m, inclusive escavação e reaterro.</v>
          </cell>
          <cell r="D130" t="str">
            <v>m</v>
          </cell>
          <cell r="F130">
            <v>22.81</v>
          </cell>
          <cell r="G130">
            <v>0</v>
          </cell>
        </row>
        <row r="132">
          <cell r="B132" t="str">
            <v>18.14</v>
          </cell>
        </row>
        <row r="133">
          <cell r="B133" t="str">
            <v>18.14.010</v>
          </cell>
          <cell r="C133" t="str">
            <v xml:space="preserve">Curva de PVC rígido rosqueável de 3/4 pol., com luva de rosca interna, inclusive assentado. </v>
          </cell>
          <cell r="D133" t="str">
            <v>un</v>
          </cell>
          <cell r="F133">
            <v>1.84</v>
          </cell>
          <cell r="G133">
            <v>0</v>
          </cell>
        </row>
        <row r="134">
          <cell r="B134" t="str">
            <v>18.14.020</v>
          </cell>
          <cell r="C134" t="str">
            <v xml:space="preserve">Curva de PVC rígido rosqueável de 1 pol., com luva de rosca interna, inclusive assentado. </v>
          </cell>
          <cell r="D134" t="str">
            <v>un</v>
          </cell>
          <cell r="F134">
            <v>2.6</v>
          </cell>
          <cell r="G134">
            <v>0</v>
          </cell>
        </row>
        <row r="135">
          <cell r="B135" t="str">
            <v>18.14.030</v>
          </cell>
          <cell r="C135" t="str">
            <v xml:space="preserve">Curva de PVC rígido rosqueável de 1 1/4 pol., com luva de rosca interna, inclusive assentado. </v>
          </cell>
          <cell r="D135" t="str">
            <v>un</v>
          </cell>
          <cell r="F135">
            <v>4.0999999999999996</v>
          </cell>
          <cell r="G135">
            <v>0</v>
          </cell>
        </row>
        <row r="136">
          <cell r="B136" t="str">
            <v>18.14.040</v>
          </cell>
          <cell r="C136" t="str">
            <v xml:space="preserve">Curva de PVC rígido rosqueável de 1 1/2 pol., com luva de rosca interna, inclusive assentado. </v>
          </cell>
          <cell r="D136" t="str">
            <v>un</v>
          </cell>
          <cell r="F136">
            <v>5.0999999999999996</v>
          </cell>
          <cell r="G136">
            <v>0</v>
          </cell>
        </row>
        <row r="137">
          <cell r="B137" t="str">
            <v>18.14.050</v>
          </cell>
          <cell r="C137" t="str">
            <v xml:space="preserve">Curva de PVC rígido rosqueável de 2 pol., com luva de rosca interna, inclusive assentado. </v>
          </cell>
          <cell r="D137" t="str">
            <v>un</v>
          </cell>
          <cell r="F137">
            <v>7.96</v>
          </cell>
          <cell r="G137">
            <v>0</v>
          </cell>
        </row>
        <row r="138">
          <cell r="B138" t="str">
            <v>18.14.060</v>
          </cell>
          <cell r="C138" t="str">
            <v xml:space="preserve">Curva de PVC rígido rosqueável de 3 pol., com luva de rosca interna, inclusive assentado. </v>
          </cell>
          <cell r="D138" t="str">
            <v>un</v>
          </cell>
          <cell r="F138">
            <v>23.46</v>
          </cell>
          <cell r="G138">
            <v>0</v>
          </cell>
        </row>
        <row r="139">
          <cell r="B139" t="str">
            <v>18.14.070</v>
          </cell>
          <cell r="C139" t="str">
            <v xml:space="preserve">Curva de PVC rígido rosqueável de 4 pol., com luva de rosca interna, inclusive assentado. </v>
          </cell>
          <cell r="D139" t="str">
            <v>un</v>
          </cell>
          <cell r="F139">
            <v>37.86</v>
          </cell>
          <cell r="G139">
            <v>0</v>
          </cell>
        </row>
        <row r="141">
          <cell r="B141" t="str">
            <v>18.15</v>
          </cell>
        </row>
        <row r="142">
          <cell r="B142" t="str">
            <v>18.15.010</v>
          </cell>
          <cell r="C142" t="str">
            <v>Caixa 4 x 2 pol. Tigreflex ou similar,  inclusive assentamento.</v>
          </cell>
          <cell r="D142" t="str">
            <v>un</v>
          </cell>
          <cell r="F142">
            <v>1.45</v>
          </cell>
          <cell r="G142">
            <v>0</v>
          </cell>
        </row>
        <row r="143">
          <cell r="B143" t="str">
            <v>18.15.020</v>
          </cell>
          <cell r="C143" t="str">
            <v>Caixa 4 x 4 pol. Tigreflex ou similar,  inclusive assentamento.</v>
          </cell>
          <cell r="D143" t="str">
            <v>un</v>
          </cell>
          <cell r="F143">
            <v>1.75</v>
          </cell>
          <cell r="G143">
            <v>0</v>
          </cell>
        </row>
        <row r="144">
          <cell r="B144" t="str">
            <v>18.15.030</v>
          </cell>
          <cell r="C144" t="str">
            <v>Caixa octogonal de 4" Tigreflex ou similar, com fundo móvel, inclusive assentaemnto em laje.</v>
          </cell>
          <cell r="D144" t="str">
            <v>un</v>
          </cell>
          <cell r="F144">
            <v>1.9</v>
          </cell>
          <cell r="G144">
            <v>0</v>
          </cell>
        </row>
        <row r="145">
          <cell r="B145" t="str">
            <v>18.15.035</v>
          </cell>
          <cell r="C145" t="str">
            <v>Fornecimento e colocação de caixa pré-moldada para ar-condicionado de 15.000 BTU's</v>
          </cell>
          <cell r="D145" t="str">
            <v>un</v>
          </cell>
          <cell r="F145">
            <v>73.38</v>
          </cell>
        </row>
        <row r="147">
          <cell r="B147" t="str">
            <v>18.16</v>
          </cell>
        </row>
        <row r="148">
          <cell r="B148" t="str">
            <v>18.16.010</v>
          </cell>
          <cell r="C148" t="str">
            <v>Tomada de embutir (2P+T) com placa para caixa de 4 x 2 pol., 20 A, 250 V, Pial (linha silentoque) ou similar, inclusive instalação.</v>
          </cell>
          <cell r="D148" t="str">
            <v>un</v>
          </cell>
          <cell r="F148">
            <v>7.08</v>
          </cell>
          <cell r="G148">
            <v>0</v>
          </cell>
        </row>
        <row r="149">
          <cell r="B149" t="str">
            <v>18.16.020</v>
          </cell>
          <cell r="C149" t="str">
            <v>Tomada de embutir para telefone quatro polos, Padrão Telebrás, com placa, para caixa de 4 x 2 pol., Pial (linha silentoque) ou similar, inclusive instalação.</v>
          </cell>
          <cell r="D149" t="str">
            <v>un</v>
          </cell>
          <cell r="F149">
            <v>6.55</v>
          </cell>
          <cell r="G149">
            <v>0</v>
          </cell>
        </row>
        <row r="151">
          <cell r="B151" t="str">
            <v>18.17</v>
          </cell>
        </row>
        <row r="152">
          <cell r="B152" t="str">
            <v>18.17.010</v>
          </cell>
          <cell r="C152" t="str">
            <v>Conjunto ARSTOP ou similar de embutir, em caixa 4 x 4 pol., com placa, tomada Tripolar para pino chato e disjuntor termomagnético de 25 A, 250 V, inclusive instalação.</v>
          </cell>
          <cell r="D152" t="str">
            <v>un</v>
          </cell>
          <cell r="F152">
            <v>20.72</v>
          </cell>
          <cell r="G152">
            <v>0</v>
          </cell>
        </row>
        <row r="154">
          <cell r="B154" t="str">
            <v>18.18</v>
          </cell>
        </row>
        <row r="155">
          <cell r="B155" t="str">
            <v>18.18.010</v>
          </cell>
          <cell r="C155" t="str">
            <v>Interruptor de embutir de uma secção para caixa de 4 x 2 pol., com placa, 10 A, 250 V, Pial (linha silentoque) ou similar, inclusive instalação.</v>
          </cell>
          <cell r="D155" t="str">
            <v>un</v>
          </cell>
          <cell r="F155">
            <v>3.9</v>
          </cell>
          <cell r="G155">
            <v>0</v>
          </cell>
        </row>
        <row r="156">
          <cell r="B156" t="str">
            <v>18.18.020</v>
          </cell>
          <cell r="C156" t="str">
            <v>Interruptor de embutir de duas secções para caixa de 4 x 2 pol., com placa, 10 A, 250 V, Pial (linha silentoque) ou similar, inclusive instalação.</v>
          </cell>
          <cell r="D156" t="str">
            <v>un</v>
          </cell>
          <cell r="F156">
            <v>6.76</v>
          </cell>
          <cell r="G156">
            <v>0</v>
          </cell>
        </row>
        <row r="157">
          <cell r="B157" t="str">
            <v>18.18.030</v>
          </cell>
          <cell r="C157" t="str">
            <v>Interruptor de embutir de três secções para caixa de 4 x 2 pol., com placa, 10 A, 250 V, Pial (linha silentoque) ou similar, inclusive instalação.</v>
          </cell>
          <cell r="D157" t="str">
            <v>un</v>
          </cell>
          <cell r="F157">
            <v>8.8800000000000008</v>
          </cell>
          <cell r="G157">
            <v>0</v>
          </cell>
        </row>
        <row r="158">
          <cell r="B158" t="str">
            <v>18.18.040</v>
          </cell>
          <cell r="C158" t="str">
            <v>Interruptor de embutir de uma secção conjugada com tomada, para caixa de 4 x 2 pol., com placa, 10 A, 250 V, Pial (linha silentoque) ou similar, inclusive instalação.</v>
          </cell>
          <cell r="D158" t="str">
            <v>un</v>
          </cell>
          <cell r="F158">
            <v>6.71</v>
          </cell>
          <cell r="G158">
            <v>0</v>
          </cell>
        </row>
        <row r="159">
          <cell r="B159" t="str">
            <v>18.18.050</v>
          </cell>
          <cell r="C159" t="str">
            <v>Interruptor de embutir de duas secções conjugada com tomada, para caixa de 4 x 2 pol., com placa, 10 A, 250 V, Pial (linha silentoque) ou similar, inclusive instalação.</v>
          </cell>
          <cell r="D159" t="str">
            <v>un</v>
          </cell>
          <cell r="F159">
            <v>8.93</v>
          </cell>
          <cell r="G159">
            <v>0</v>
          </cell>
        </row>
        <row r="160">
          <cell r="B160" t="str">
            <v>18.18.060</v>
          </cell>
          <cell r="C160" t="str">
            <v>Interruptor de embutir Three-Way (vai e vem), para caixa de 4 x 2 pol., com placa, 10 A, 250 V, Pial (linha silentoque) ou similar, inclusive instalação.</v>
          </cell>
          <cell r="D160" t="str">
            <v>un</v>
          </cell>
          <cell r="F160">
            <v>5.19</v>
          </cell>
          <cell r="G160">
            <v>0</v>
          </cell>
        </row>
        <row r="162">
          <cell r="B162" t="str">
            <v>18.19</v>
          </cell>
        </row>
        <row r="163">
          <cell r="B163" t="str">
            <v>18.19.010</v>
          </cell>
          <cell r="C163" t="str">
            <v>Fio de cobre, têmpera mole, classe 1, isolamento de PVC - 70 C, tipo BWF, 750 V, Foreplast ou similar, S.M. - 1,5 mm², inclusive instalação em eletroduto.</v>
          </cell>
          <cell r="D163" t="str">
            <v>m</v>
          </cell>
          <cell r="F163">
            <v>0.59</v>
          </cell>
          <cell r="G163">
            <v>0</v>
          </cell>
        </row>
        <row r="164">
          <cell r="B164" t="str">
            <v>18.19.020</v>
          </cell>
          <cell r="C164" t="str">
            <v>Fio de cobre, têmpera mole, classe 1, isolamento de PVC - 70 C, tipo BWF, 750 V, Foreplast ou similar, S.M. - 2,5 mm², inclusive instalação em eletroduto.</v>
          </cell>
          <cell r="D164" t="str">
            <v>m</v>
          </cell>
          <cell r="F164">
            <v>0.85</v>
          </cell>
          <cell r="G164">
            <v>0</v>
          </cell>
        </row>
        <row r="165">
          <cell r="B165" t="str">
            <v>18.19.025</v>
          </cell>
          <cell r="C165" t="str">
            <v>Cabro de cobre, têmpera mole, encordoamento classe 2, isolamento de PVC - 70 C, tipo BWF, 750 V, Foreplast ou similar, S.M. - 2,5 mm², inclusive instalação em eletroduto.</v>
          </cell>
          <cell r="D165" t="str">
            <v>m</v>
          </cell>
          <cell r="F165">
            <v>0.9</v>
          </cell>
          <cell r="G165">
            <v>0</v>
          </cell>
        </row>
        <row r="166">
          <cell r="B166" t="str">
            <v>18.19.030</v>
          </cell>
          <cell r="C166" t="str">
            <v>Cabo de cobre, têmpera mole, encordoamento classe 2, isolamento de PVC - 70 C, tipo BWF, 750 V, Foreplast ou similar, S.M. - 4,0 mm², inclusive instalação em eletroduto.</v>
          </cell>
          <cell r="D166" t="str">
            <v>m</v>
          </cell>
          <cell r="F166">
            <v>0.94</v>
          </cell>
          <cell r="G166">
            <v>0</v>
          </cell>
        </row>
        <row r="167">
          <cell r="B167" t="str">
            <v>18.19.040</v>
          </cell>
          <cell r="C167" t="str">
            <v>Cabo de cobre, têmpera mole, encordoamento classe 2, isolamento de PVC - 70 C, tipo BWF, 750 V, Foreplast ou similar, S.M. - 6,0 mm², inclusive instalação em eletroduto.</v>
          </cell>
          <cell r="D167" t="str">
            <v>m</v>
          </cell>
          <cell r="F167">
            <v>1.1299999999999999</v>
          </cell>
          <cell r="G167">
            <v>0</v>
          </cell>
        </row>
        <row r="168">
          <cell r="B168" t="str">
            <v>18.19.041</v>
          </cell>
          <cell r="C168" t="str">
            <v>Cabo de cobre, têmpera mole, encordoamento classe 2, isolamento de PVC - 70 C, tipo BWF, 750 V, Foreplast ou similar, S.M. - 10,0 mm², inclusive instalação em eletroduto.</v>
          </cell>
          <cell r="D168" t="str">
            <v>m</v>
          </cell>
          <cell r="F168">
            <v>1.6</v>
          </cell>
          <cell r="G168">
            <v>0</v>
          </cell>
        </row>
        <row r="169">
          <cell r="B169" t="str">
            <v>18.19.042</v>
          </cell>
          <cell r="C169" t="str">
            <v>Cabo de cobre, têmpera mole, encordoamento classe 2, isolamento de PVC - 70 C, tipo BWF, 750 V, Foreplast ou similar, S.M. - 16,0 mm², inclusive instalação em eletroduto.</v>
          </cell>
          <cell r="D169" t="str">
            <v>m</v>
          </cell>
          <cell r="F169">
            <v>2.11</v>
          </cell>
          <cell r="G169">
            <v>0</v>
          </cell>
        </row>
        <row r="170">
          <cell r="B170" t="str">
            <v>18.19.043</v>
          </cell>
          <cell r="C170" t="str">
            <v>Cabo de cobre, têmpera mole, encordoamento classe 2, isolamento de PVC - 70 C, tipo BWF, 750 V, Foreplast ou similar, S.M. - 25,0 mm², inclusive instalação em eletroduto.</v>
          </cell>
          <cell r="D170" t="str">
            <v>m</v>
          </cell>
          <cell r="F170">
            <v>2.93</v>
          </cell>
          <cell r="G170">
            <v>0</v>
          </cell>
        </row>
        <row r="171">
          <cell r="B171" t="str">
            <v>18.19.046</v>
          </cell>
          <cell r="C171" t="str">
            <v>Cabo de cobre (1 condutor), têmpera mole, encordoamento classe 2, isolamento de PVC - Flame Resistant - 70 C, 0,6 / 1 Kv, cobertura de PVC-ST 1, Foremax ou similar, S.M. - 1,5 mm², inclusive instalação em eletroduto.</v>
          </cell>
          <cell r="D171" t="str">
            <v>m</v>
          </cell>
          <cell r="F171">
            <v>0.69</v>
          </cell>
          <cell r="G171">
            <v>0</v>
          </cell>
        </row>
        <row r="172">
          <cell r="B172" t="str">
            <v>18.19.047</v>
          </cell>
          <cell r="C172" t="str">
            <v>Cabo de cobre (1 condutor), têmpera mole, encordoamento classe 2, isolamento de PVC - Flame Resistant - 70 C, 0,6 / 1 Kv, cobertura de PVC-ST 1, Foremax ou similar, S.M. - 2,5 mm², inclusive instalação em eletroduto.</v>
          </cell>
          <cell r="D172" t="str">
            <v>m</v>
          </cell>
          <cell r="F172">
            <v>0.83</v>
          </cell>
          <cell r="G172">
            <v>0</v>
          </cell>
        </row>
        <row r="173">
          <cell r="B173" t="str">
            <v>18.19.048</v>
          </cell>
          <cell r="C173" t="str">
            <v>Cabo de cobre (1 condutor), têmpera mole, encordoamento classe 2, isolamento de PVC - Flame Resistant - 70 C, 0,6 / 1 Kv, cobertura de PVC-ST 1, Foremax ou similar, S.M. - 4,0 mm², inclusive instalação em eletroduto.</v>
          </cell>
          <cell r="D173" t="str">
            <v>m</v>
          </cell>
          <cell r="F173">
            <v>1.29</v>
          </cell>
          <cell r="G173">
            <v>0</v>
          </cell>
        </row>
        <row r="174">
          <cell r="B174" t="str">
            <v>18.19.049</v>
          </cell>
          <cell r="C174" t="str">
            <v>Cabo de cobre (1 condutor), têmpera mole, encordoamento classe 2, isolamento de PVC - Flame Resistant - 70 C, 0,6 / 1 Kv, cobertura de PVC-ST 1, Foremax ou similar, S.M. - 6,0 mm², inclusive instalação em eletroduto.</v>
          </cell>
          <cell r="D174" t="str">
            <v>m</v>
          </cell>
          <cell r="F174">
            <v>1.56</v>
          </cell>
          <cell r="G174">
            <v>0</v>
          </cell>
        </row>
        <row r="175">
          <cell r="B175" t="str">
            <v>18.19.050</v>
          </cell>
          <cell r="C175" t="str">
            <v>Cabo de cobre (1 condutor), têmpera mole, encordoamento classe 2, isolamento de PVC - Flame Resistant - 70 C, 0,6 / 1 Kv, cobertura de PVC-ST 1, Foremax ou similar, S.M. - 10,0 mm², inclusive instalação em eletroduto.</v>
          </cell>
          <cell r="D175" t="str">
            <v>m</v>
          </cell>
          <cell r="F175">
            <v>2.06</v>
          </cell>
          <cell r="G175">
            <v>0</v>
          </cell>
        </row>
        <row r="176">
          <cell r="B176" t="str">
            <v>18.19.060</v>
          </cell>
          <cell r="C176" t="str">
            <v>Cabo de cobre (1 condutor), têmpera mole, encordoamento classe 2, isolamento de PVC - Flame Resistant - 70 C, 0,6 / 1 Kv, cobertura de PVC-ST 1, Foremax ou similar, S.M. - 16,0 mm², inclusive instalação em eletroduto.</v>
          </cell>
          <cell r="D176" t="str">
            <v>m</v>
          </cell>
          <cell r="F176">
            <v>2.9</v>
          </cell>
          <cell r="G176">
            <v>0</v>
          </cell>
        </row>
        <row r="177">
          <cell r="B177" t="str">
            <v>18.19.065</v>
          </cell>
          <cell r="C177" t="str">
            <v>Dec., de piso cimentado.</v>
          </cell>
          <cell r="F177">
            <v>9.1</v>
          </cell>
          <cell r="G177">
            <v>0</v>
          </cell>
        </row>
        <row r="178">
          <cell r="B178" t="str">
            <v>18.19.070</v>
          </cell>
          <cell r="C178" t="str">
            <v>Cabo de cobre (1 condutor), têmpera mole, encordoamento classe 2, isolamento de PVC - Flame Resistant - 70 C, 0,6 / 1 Kv, cobertura de PVC-ST 1, Foremax ou similar, S.M. - 25,0 mm², inclusive instalação em eletroduto.</v>
          </cell>
          <cell r="D178" t="str">
            <v>m</v>
          </cell>
          <cell r="F178">
            <v>3.85</v>
          </cell>
          <cell r="G178">
            <v>0</v>
          </cell>
        </row>
        <row r="179">
          <cell r="B179" t="str">
            <v>18.19.080</v>
          </cell>
          <cell r="C179" t="str">
            <v>Cabo de cobre (1 condutor), têmpera mole, encordoamento classe 2, isolamento de PVC - Flame Resistant - 70 C, 0,6 / 1 Kv, cobertura de PVC-ST 1, Foremax ou similar, S.M. - 35,0 mm², inclusive instalação em eletroduto.</v>
          </cell>
          <cell r="D179" t="str">
            <v>m</v>
          </cell>
          <cell r="F179">
            <v>4.91</v>
          </cell>
          <cell r="G179">
            <v>0</v>
          </cell>
        </row>
        <row r="180">
          <cell r="B180" t="str">
            <v>18.19.085</v>
          </cell>
          <cell r="C180" t="str">
            <v>Cabo de Cobre  com isolamento termoplástico para ligação dos postes, com 4,0 mm² - 28 A, inclusive instalação em eletroduto.</v>
          </cell>
          <cell r="D180" t="str">
            <v>m</v>
          </cell>
          <cell r="F180">
            <v>0.8</v>
          </cell>
          <cell r="G180">
            <v>0</v>
          </cell>
        </row>
        <row r="182">
          <cell r="B182" t="str">
            <v>18.20</v>
          </cell>
        </row>
        <row r="183">
          <cell r="B183" t="str">
            <v>18.20.010</v>
          </cell>
          <cell r="C183" t="str">
            <v>Disjuntor monopolar termomagnético até 30 A, 220 V, Eletromar ou similar, inclusive instalação em quadro de distribuição.</v>
          </cell>
          <cell r="D183" t="str">
            <v>un</v>
          </cell>
          <cell r="F183">
            <v>6.01</v>
          </cell>
          <cell r="G183">
            <v>0</v>
          </cell>
        </row>
        <row r="184">
          <cell r="B184" t="str">
            <v>18.20.020</v>
          </cell>
          <cell r="C184" t="str">
            <v>Disjuntor monopolar termomagnético até 35 a 50A, 220 V, Eletromar ou similar, inclusive instalação em quadro de distribuição.</v>
          </cell>
          <cell r="D184" t="str">
            <v>un</v>
          </cell>
          <cell r="F184">
            <v>8.06</v>
          </cell>
          <cell r="G184">
            <v>0</v>
          </cell>
        </row>
        <row r="185">
          <cell r="B185" t="str">
            <v>18.20.030</v>
          </cell>
          <cell r="C185" t="str">
            <v>Disjuntor tripolar termomagnético até 50 A 380, 220 V, Eletromar ou similar, inclusive instalação em quadro de distribuição.</v>
          </cell>
          <cell r="D185" t="str">
            <v>un</v>
          </cell>
          <cell r="F185">
            <v>30.85</v>
          </cell>
          <cell r="G185">
            <v>0</v>
          </cell>
        </row>
        <row r="186">
          <cell r="B186" t="str">
            <v>18.20.040</v>
          </cell>
          <cell r="C186" t="str">
            <v>Disjuntor tripolar termomagnético até 60 a 100 A, 380 V, Eletromar ou similar, inclusive instalação em quadro de distribuição.</v>
          </cell>
          <cell r="D186" t="str">
            <v>un</v>
          </cell>
          <cell r="F186">
            <v>45.39</v>
          </cell>
          <cell r="G186">
            <v>0</v>
          </cell>
        </row>
        <row r="187">
          <cell r="B187" t="str">
            <v>18.20.050</v>
          </cell>
          <cell r="C187" t="str">
            <v>Disjuntor tripolar termomagnético até 120 a 150 A, 380 V, Eletromar ou similar, inclusive instalação em quadro de distribuição.</v>
          </cell>
          <cell r="D187" t="str">
            <v>un</v>
          </cell>
          <cell r="F187">
            <v>115.39</v>
          </cell>
          <cell r="G187">
            <v>0</v>
          </cell>
        </row>
        <row r="188">
          <cell r="B188" t="str">
            <v>18.20.055</v>
          </cell>
          <cell r="C188" t="str">
            <v>Fornecimento e colocação de disjuntor 15 A.</v>
          </cell>
          <cell r="D188" t="str">
            <v>un</v>
          </cell>
          <cell r="F188">
            <v>7.67</v>
          </cell>
        </row>
        <row r="189">
          <cell r="B189" t="str">
            <v>18.20.056</v>
          </cell>
          <cell r="C189" t="str">
            <v>Fornecimento e colocação de disjuntor 50 A.</v>
          </cell>
          <cell r="D189" t="str">
            <v>un</v>
          </cell>
          <cell r="F189">
            <v>10.27</v>
          </cell>
        </row>
        <row r="190">
          <cell r="B190" t="str">
            <v>18.20.057</v>
          </cell>
          <cell r="C190" t="str">
            <v>Fornecimento e colocação de disjuntor tripolar 150 A (quadro de medição).</v>
          </cell>
          <cell r="D190" t="str">
            <v>un</v>
          </cell>
          <cell r="F190">
            <v>149.04</v>
          </cell>
        </row>
        <row r="192">
          <cell r="B192" t="str">
            <v>18.21</v>
          </cell>
        </row>
        <row r="193">
          <cell r="B193" t="str">
            <v>18.21.010</v>
          </cell>
          <cell r="C193" t="str">
            <v xml:space="preserve">Quadro de distribuição metálico de embutir, com barramento de neutro tipo com 600, eletromar ou similar, para até 6 circuitos momopolares, com sobretampa articulada provida de visor transparente, inclusive instalação. </v>
          </cell>
          <cell r="D193" t="str">
            <v>un</v>
          </cell>
          <cell r="F193">
            <v>49.2</v>
          </cell>
          <cell r="G193">
            <v>0</v>
          </cell>
        </row>
        <row r="194">
          <cell r="B194" t="str">
            <v>18.21.020</v>
          </cell>
          <cell r="C194" t="str">
            <v xml:space="preserve">Quadro de distribuição metálico de embutir, com barramento de neutro tipo com 600, eletromar ou similar, para até 8 circuitos momopolares, com sobretampa articulada provida de visor transparente, inclusive instalação. </v>
          </cell>
          <cell r="D194" t="str">
            <v>un</v>
          </cell>
          <cell r="F194">
            <v>52.3</v>
          </cell>
          <cell r="G194">
            <v>0</v>
          </cell>
        </row>
        <row r="196">
          <cell r="B196" t="str">
            <v>18.21.150</v>
          </cell>
          <cell r="C196" t="str">
            <v xml:space="preserve">Quadro de distribuição metálico de embutir, com barramento, chave geral e placa neutro ref. QDETN-12, Cemar ou similar, para até 12 circuitos momopolares, com porta, inclusive instalação. </v>
          </cell>
          <cell r="D196" t="str">
            <v>un</v>
          </cell>
          <cell r="F196">
            <v>50.64</v>
          </cell>
          <cell r="G196">
            <v>0</v>
          </cell>
        </row>
        <row r="197">
          <cell r="B197" t="str">
            <v>18.21.030</v>
          </cell>
          <cell r="C197" t="str">
            <v xml:space="preserve">Quadro de distribuição metálico de embutir, com barramento, chave geral e placa neutro tipo PQR 15 C, eletromar ou similar, para até 15 circuitos momopolares, com porta e trinco, inclusive instalação. </v>
          </cell>
          <cell r="D197" t="str">
            <v>un</v>
          </cell>
          <cell r="F197">
            <v>163.95</v>
          </cell>
          <cell r="G197">
            <v>0</v>
          </cell>
        </row>
        <row r="198">
          <cell r="B198" t="str">
            <v>18.21.035</v>
          </cell>
          <cell r="C198" t="str">
            <v xml:space="preserve">Quadro de distribuição metálico de embutir, com barramento, chave geral e placa neutro tipo PQR 18 CA, eletromar ou similar, para até 18 circuitos momopolares, com porta e trinco, inclusive instalação. </v>
          </cell>
          <cell r="D198" t="str">
            <v>un</v>
          </cell>
          <cell r="F198">
            <v>213.95</v>
          </cell>
          <cell r="G198">
            <v>0</v>
          </cell>
        </row>
        <row r="199">
          <cell r="B199" t="str">
            <v>18.21.170</v>
          </cell>
          <cell r="C199" t="str">
            <v xml:space="preserve">Quadro de distribuição metálico de embutir, com barramento, chave geral e placa neutro ref. QDETN-32 Cemar ou similar, para 32 , circuitos momopolares, com porta e trinco, inclusive instalação. </v>
          </cell>
          <cell r="D199" t="str">
            <v>un</v>
          </cell>
          <cell r="F199">
            <v>104.28</v>
          </cell>
          <cell r="G199">
            <v>0</v>
          </cell>
        </row>
        <row r="200">
          <cell r="B200" t="str">
            <v>18.21.045</v>
          </cell>
          <cell r="C200" t="str">
            <v>Luminária tipo globo leitoso completa.</v>
          </cell>
          <cell r="D200" t="str">
            <v>un</v>
          </cell>
          <cell r="F200">
            <v>24.83</v>
          </cell>
        </row>
        <row r="201">
          <cell r="B201" t="str">
            <v>18.21.050</v>
          </cell>
          <cell r="C201" t="str">
            <v xml:space="preserve">Quadro de distribuição metálico de embutir, com barramento, chave geral e placa neutro tipo PQR 30 CA, eletromar ou similar, para 30 , circuitos momopolares, com porta e trinco, inclusive instalação. </v>
          </cell>
          <cell r="D201" t="str">
            <v>un</v>
          </cell>
          <cell r="F201">
            <v>258.60000000000002</v>
          </cell>
          <cell r="G201">
            <v>0</v>
          </cell>
        </row>
        <row r="202">
          <cell r="B202" t="str">
            <v>18.21.060</v>
          </cell>
          <cell r="C202" t="str">
            <v xml:space="preserve">Quadro de distribuição metálico de embutir, sem barramento, tipo QCSP, Gomes ou similar, para até 3 circuitos momopolares, sem porta, inclusive instalação. </v>
          </cell>
          <cell r="D202" t="str">
            <v>un</v>
          </cell>
          <cell r="F202">
            <v>16.18</v>
          </cell>
          <cell r="G202">
            <v>0</v>
          </cell>
        </row>
        <row r="203">
          <cell r="B203" t="str">
            <v>18.21.070</v>
          </cell>
          <cell r="C203" t="str">
            <v xml:space="preserve">Quadro de distribuição metálico de embutir, sem barramento, tipo QCCP, Gomes ou similar, para até 3 circuitos momopolares, com porta, inclusive instalação. </v>
          </cell>
          <cell r="D203" t="str">
            <v>un</v>
          </cell>
          <cell r="F203">
            <v>16.78</v>
          </cell>
          <cell r="G203">
            <v>0</v>
          </cell>
        </row>
        <row r="204">
          <cell r="B204" t="str">
            <v>18.21.080</v>
          </cell>
          <cell r="C204" t="str">
            <v xml:space="preserve">Quadro de distribuição metálico de embutir, sem barramento, tipo QCCP, Gomes ou similar, para até 6 circuitos momopolares, com porta, inclusive instalação. </v>
          </cell>
          <cell r="D204" t="str">
            <v>un</v>
          </cell>
          <cell r="F204">
            <v>19.13</v>
          </cell>
          <cell r="G204">
            <v>0</v>
          </cell>
        </row>
        <row r="205">
          <cell r="B205" t="str">
            <v>18.21.090</v>
          </cell>
          <cell r="C205" t="str">
            <v xml:space="preserve">Quadro de distribuição metálico de embutir, sem barramento, tipo QCCP, Gomes ou similar, para até 12 circuitos momopolares, com porta, inclusive instalação. </v>
          </cell>
          <cell r="D205" t="str">
            <v>un</v>
          </cell>
          <cell r="F205">
            <v>24.78</v>
          </cell>
          <cell r="G205">
            <v>0</v>
          </cell>
        </row>
        <row r="206">
          <cell r="B206" t="str">
            <v>18.21.100</v>
          </cell>
          <cell r="C206" t="str">
            <v xml:space="preserve">Quadro de distribuição metálico de embutir, sem barramento, tipo QCCP, Gomes ou similar, para até 18 circuitos momopolares, com porta, inclusive instalação. </v>
          </cell>
          <cell r="D206" t="str">
            <v>un</v>
          </cell>
          <cell r="F206">
            <v>44.17</v>
          </cell>
          <cell r="G206">
            <v>0</v>
          </cell>
        </row>
        <row r="208">
          <cell r="B208" t="str">
            <v>18.22</v>
          </cell>
        </row>
        <row r="209">
          <cell r="B209" t="str">
            <v>18.22.005</v>
          </cell>
          <cell r="C209" t="str">
            <v>Fornecimento e instalação de módulo de  distribuição com barramento para 300 A.</v>
          </cell>
          <cell r="D209" t="str">
            <v>un</v>
          </cell>
          <cell r="F209">
            <v>1747.73</v>
          </cell>
        </row>
        <row r="210">
          <cell r="B210" t="str">
            <v>18.22.010</v>
          </cell>
          <cell r="C210" t="str">
            <v>Ponto de luz em teto ou parede, incluindo caixa 4 x 4 pol. Tigreflex ou similar, tubulação PVC rígido e fiação, até o quadro de distribuição.</v>
          </cell>
          <cell r="D210" t="str">
            <v>pt</v>
          </cell>
          <cell r="F210">
            <v>18.059999999999999</v>
          </cell>
          <cell r="G210">
            <v>0</v>
          </cell>
        </row>
        <row r="211">
          <cell r="B211" t="str">
            <v>18.22.015</v>
          </cell>
          <cell r="C211" t="str">
            <v>Recuperação do quadro de medição existente (substação área)</v>
          </cell>
          <cell r="D211" t="str">
            <v>un</v>
          </cell>
          <cell r="F211">
            <v>251.95</v>
          </cell>
        </row>
        <row r="212">
          <cell r="B212" t="str">
            <v>18.22.016</v>
          </cell>
          <cell r="C212" t="str">
            <v>Fornecimento e colocação de cabo 50 mm² (substação ao módulo de distribuição)</v>
          </cell>
          <cell r="D212" t="str">
            <v>m</v>
          </cell>
          <cell r="F212">
            <v>9.75</v>
          </cell>
        </row>
        <row r="213">
          <cell r="B213" t="str">
            <v>18.22.020</v>
          </cell>
          <cell r="C213" t="str">
            <v>Ponto de interruptor de uma secção, Pial ou similar, inclusive tubulação PVC rígido, fiação, caixa 4 x 2 pol., Tigreflex ou similar placa e demais acessórios, até o ponto de luz.</v>
          </cell>
          <cell r="D213" t="str">
            <v>pt</v>
          </cell>
          <cell r="F213">
            <v>16.62</v>
          </cell>
          <cell r="G213">
            <v>0</v>
          </cell>
        </row>
        <row r="214">
          <cell r="B214" t="str">
            <v>18.22.030</v>
          </cell>
          <cell r="C214" t="str">
            <v>Ponto de interruptor de 2 secções, Pial ou similar, inclusive tubulação PVC rígido, fiação, caixa 4 x 2 pol., Tigreflex ou similar, placa e demais acessórios, até o ponto de luz.</v>
          </cell>
          <cell r="D214" t="str">
            <v>pt</v>
          </cell>
          <cell r="F214">
            <v>24.04</v>
          </cell>
          <cell r="G214">
            <v>0</v>
          </cell>
        </row>
        <row r="215">
          <cell r="B215" t="str">
            <v>18.22.040</v>
          </cell>
          <cell r="C215" t="str">
            <v>Ponto de interruptor de 3 secções, Pial ou similar, inclusive tubulação PVC rígido, fiação, caixa 4 x 2 pol., Tigreflex ou similar, placa e demais acessórios, até o ponto de luz.</v>
          </cell>
          <cell r="D215" t="str">
            <v>pt</v>
          </cell>
          <cell r="F215">
            <v>29.36</v>
          </cell>
          <cell r="G215">
            <v>0</v>
          </cell>
        </row>
        <row r="216">
          <cell r="B216" t="str">
            <v>18.22.050</v>
          </cell>
          <cell r="C216" t="str">
            <v>Ponto de interruptor Three-Way, Pial ou similar, inclusive tubulação PVC rígido, fiação, caixa 4 x 2 pol., Tigreflex ou similar, placa e demais acessórios, até o ponto de luz.</v>
          </cell>
          <cell r="D216" t="str">
            <v>pt</v>
          </cell>
          <cell r="F216">
            <v>47.79</v>
          </cell>
          <cell r="G216">
            <v>0</v>
          </cell>
        </row>
        <row r="217">
          <cell r="B217" t="str">
            <v>18.22.060</v>
          </cell>
          <cell r="C217" t="str">
            <v>Ponto de tomada universal (2P+1 T), Pial ou similar, inclusive tubulação PVC rígido, fiação, caixa 4 x 2 pol., Tigreflex ou similar, placa e demais acessórios, até o ponto de luz ou quadro de distribuição.</v>
          </cell>
          <cell r="D217" t="str">
            <v>pt</v>
          </cell>
          <cell r="F217">
            <v>29.94</v>
          </cell>
          <cell r="G217">
            <v>0</v>
          </cell>
        </row>
        <row r="218">
          <cell r="B218" t="str">
            <v>18.22.070</v>
          </cell>
          <cell r="C218" t="str">
            <v>Ponto de tomada universal (2P+1 T), Pial ou similar para 2000 W, inclusive tubulação PVC rígido, fiação, caixa 4 x 2 pol., Tigreflex ou similar, placa e demais acessórios, até o ponto de luz ou quadro de distribuição.</v>
          </cell>
          <cell r="D218" t="str">
            <v>pt</v>
          </cell>
          <cell r="F218">
            <v>44.67</v>
          </cell>
          <cell r="G218">
            <v>0</v>
          </cell>
        </row>
        <row r="219">
          <cell r="B219" t="str">
            <v>18.22.080</v>
          </cell>
          <cell r="C219" t="str">
            <v>Ponto de tomada para ar-condicionado com conjunto tipo Arstop ou similar, em caixa Tigreflex ou similar 4 x 4 pol., com placa, tomada tripolar para pino chato e disjuntor termomagnético de 25 A, inclusive tubulação de PVC rígido, fiação, aterramento e dem</v>
          </cell>
          <cell r="D219" t="str">
            <v>pt</v>
          </cell>
          <cell r="F219">
            <v>56.86</v>
          </cell>
          <cell r="G219">
            <v>0</v>
          </cell>
        </row>
        <row r="220">
          <cell r="B220" t="str">
            <v>18.22.085</v>
          </cell>
          <cell r="C220" t="str">
            <v xml:space="preserve">Ponto de tomada para ar-condicionado </v>
          </cell>
          <cell r="D220" t="str">
            <v>pt</v>
          </cell>
          <cell r="F220">
            <v>67.260000000000005</v>
          </cell>
        </row>
        <row r="221">
          <cell r="B221" t="str">
            <v>18.22.090</v>
          </cell>
          <cell r="C221" t="str">
            <v>Ponto de tomada para telefone, Pial ou similar, em caixa Tigreflex ou similar 4 x 2 pol., inclusive placa, tubulação de PVC rígido, fiação, caixas de passagem e demais acessórios, até a caixa de distribuição do pavimento.</v>
          </cell>
          <cell r="D221" t="str">
            <v>pt</v>
          </cell>
          <cell r="F221">
            <v>30.89</v>
          </cell>
          <cell r="G221">
            <v>0</v>
          </cell>
        </row>
        <row r="222">
          <cell r="B222" t="str">
            <v>18.22.091</v>
          </cell>
          <cell r="C222" t="str">
            <v>Instalação elétrica</v>
          </cell>
          <cell r="D222" t="str">
            <v>vb</v>
          </cell>
          <cell r="F222">
            <v>232.9</v>
          </cell>
          <cell r="G222">
            <v>0</v>
          </cell>
        </row>
        <row r="223">
          <cell r="B223" t="str">
            <v>18.22.095</v>
          </cell>
          <cell r="C223" t="str">
            <v>Ponto de tomada 220 V convencional.</v>
          </cell>
          <cell r="D223" t="str">
            <v>pt</v>
          </cell>
          <cell r="F223">
            <v>38.92</v>
          </cell>
        </row>
        <row r="224">
          <cell r="B224" t="str">
            <v>18.22.096</v>
          </cell>
          <cell r="C224" t="str">
            <v>Ramal de alimentação para ponto de telefone.</v>
          </cell>
          <cell r="D224" t="str">
            <v>vb</v>
          </cell>
          <cell r="F224">
            <v>413.4</v>
          </cell>
        </row>
        <row r="225">
          <cell r="B225" t="str">
            <v>18.22.100</v>
          </cell>
          <cell r="C225" t="str">
            <v>Ponto de campainha, inclusive caixa, cigarra, botão, espelho, tubulação PVC rígido, fiação e demais acessórios, até quadro de sinalização instalado no posto de enfermagem.</v>
          </cell>
          <cell r="D225" t="str">
            <v>pt</v>
          </cell>
          <cell r="F225">
            <v>44.69</v>
          </cell>
          <cell r="G225">
            <v>0</v>
          </cell>
        </row>
        <row r="226">
          <cell r="B226" t="str">
            <v>18.22.110</v>
          </cell>
          <cell r="C226" t="str">
            <v>Ponto para computador</v>
          </cell>
          <cell r="D226" t="str">
            <v>pt</v>
          </cell>
          <cell r="F226">
            <v>51.5</v>
          </cell>
        </row>
        <row r="228">
          <cell r="B228" t="str">
            <v>18.24</v>
          </cell>
        </row>
        <row r="229">
          <cell r="B229" t="str">
            <v>18.24.005</v>
          </cell>
          <cell r="C229" t="str">
            <v>Luminária tipo sobrepor aberta para 02 lâmpads fluorescente 40 W (calha trapezoidal) completa.</v>
          </cell>
          <cell r="D229" t="str">
            <v>un</v>
          </cell>
          <cell r="F229">
            <v>45.84</v>
          </cell>
        </row>
        <row r="230">
          <cell r="B230" t="str">
            <v>18.24.010</v>
          </cell>
          <cell r="C230" t="str">
            <v>Caixa de passagem subterrânea com dimensões internas 0,40 x 0,40 m, altura 0,60 m, sobre camada de brita com 0,10 m de espessura, pararedes em alvenaria e laje de tampa em concreto armado, inclusive escavaçào, remoção e reaterro.</v>
          </cell>
          <cell r="D230" t="str">
            <v>un</v>
          </cell>
          <cell r="F230">
            <v>19.91</v>
          </cell>
          <cell r="G230">
            <v>0</v>
          </cell>
        </row>
        <row r="231">
          <cell r="B231" t="str">
            <v>18.24.020</v>
          </cell>
          <cell r="C231" t="str">
            <v>Caixa de passagem subterrânea para entrada de rede telefônica, tipo R1 (até 35 pontos), com dimensões internas 0,60 x 0,35 m, altura 0,50 m, paredes em alvenaria, e laje de tampa em concreto armado, inclusive escavação, remoção e reaterro.</v>
          </cell>
          <cell r="D231" t="str">
            <v>un</v>
          </cell>
          <cell r="F231">
            <v>21.87</v>
          </cell>
          <cell r="G231">
            <v>0</v>
          </cell>
        </row>
        <row r="232">
          <cell r="B232" t="str">
            <v>18.24.030</v>
          </cell>
          <cell r="C232" t="str">
            <v>Caixa para ar condicionado</v>
          </cell>
          <cell r="D232" t="str">
            <v>un</v>
          </cell>
          <cell r="F232">
            <v>23.82</v>
          </cell>
        </row>
        <row r="234">
          <cell r="B234" t="str">
            <v>18.25</v>
          </cell>
        </row>
        <row r="235">
          <cell r="B235" t="str">
            <v>18.25.005</v>
          </cell>
          <cell r="C235" t="str">
            <v>Inatalação elétrica.</v>
          </cell>
          <cell r="D235" t="str">
            <v>vb</v>
          </cell>
          <cell r="F235">
            <v>91.2</v>
          </cell>
          <cell r="G235">
            <v>0</v>
          </cell>
        </row>
        <row r="236">
          <cell r="B236" t="str">
            <v>18.25.010</v>
          </cell>
          <cell r="C236" t="str">
            <v>Fornecimento e assentamento de luminária.</v>
          </cell>
          <cell r="D236" t="str">
            <v>un</v>
          </cell>
          <cell r="F236">
            <v>570</v>
          </cell>
          <cell r="G236">
            <v>0</v>
          </cell>
        </row>
        <row r="237">
          <cell r="B237" t="str">
            <v>18.25.020</v>
          </cell>
          <cell r="C237" t="str">
            <v>Luminária tipo sobrepor, aberta, para 2 lâmpadas fluorescente de 20 W, ref. TMS-500 Philips ou similar, inclusive reator alto fator de potência lâmpadas, demais acessórios e instalação.</v>
          </cell>
          <cell r="D237" t="str">
            <v>cj</v>
          </cell>
          <cell r="F237">
            <v>41.36</v>
          </cell>
          <cell r="G237">
            <v>0</v>
          </cell>
        </row>
        <row r="238">
          <cell r="B238" t="str">
            <v>18.25.030</v>
          </cell>
          <cell r="C238" t="str">
            <v>Luminária tipo sobrepor, aberta, para 1 lâmpada fluorescente de 40 W, ref. TMS-500 Philips ou similar, inclusive reator alto fator de potência lâmpadas, demais acessórios e instalação.</v>
          </cell>
          <cell r="D238" t="str">
            <v>cj</v>
          </cell>
          <cell r="F238">
            <v>35.770000000000003</v>
          </cell>
          <cell r="G238">
            <v>0</v>
          </cell>
        </row>
        <row r="239">
          <cell r="B239" t="str">
            <v>18.25.031</v>
          </cell>
          <cell r="C239" t="str">
            <v>Fechadura</v>
          </cell>
          <cell r="D239" t="str">
            <v>un</v>
          </cell>
          <cell r="F239">
            <v>39.9</v>
          </cell>
          <cell r="G239">
            <v>0</v>
          </cell>
        </row>
        <row r="240">
          <cell r="B240" t="str">
            <v>18.25.040</v>
          </cell>
          <cell r="C240" t="str">
            <v>Luminária tipo sobrepor, aberta, para 2 lâmpadas fluorescente de 32 W, ref. TMS-500 Philips ou similar, inclusive reator alto fator de potência lâmpadas, demais acessórios e instalação.</v>
          </cell>
          <cell r="D240" t="str">
            <v>cj</v>
          </cell>
          <cell r="F240">
            <v>51.13</v>
          </cell>
          <cell r="G240">
            <v>0</v>
          </cell>
        </row>
        <row r="241">
          <cell r="B241" t="str">
            <v>18.25.041</v>
          </cell>
          <cell r="C241" t="str">
            <v>Fornecimento e colocação de lâmpada fluorescente de 40 W.</v>
          </cell>
          <cell r="D241" t="str">
            <v>un</v>
          </cell>
          <cell r="F241">
            <v>5.8</v>
          </cell>
          <cell r="G241">
            <v>0</v>
          </cell>
        </row>
        <row r="242">
          <cell r="B242" t="str">
            <v>18.25.042</v>
          </cell>
          <cell r="C242" t="str">
            <v>Fornecimento e colocação de reator de 40 W.</v>
          </cell>
          <cell r="D242" t="str">
            <v>un</v>
          </cell>
          <cell r="F242">
            <v>8.5</v>
          </cell>
          <cell r="G242">
            <v>0</v>
          </cell>
        </row>
        <row r="243">
          <cell r="B243" t="str">
            <v>18.25.043</v>
          </cell>
          <cell r="C243" t="str">
            <v>Fornecimento e colocação de térmico com base.</v>
          </cell>
          <cell r="D243" t="str">
            <v>un</v>
          </cell>
          <cell r="F243">
            <v>1</v>
          </cell>
          <cell r="G243">
            <v>0</v>
          </cell>
        </row>
        <row r="244">
          <cell r="B244" t="str">
            <v>18.25.050</v>
          </cell>
          <cell r="C244" t="str">
            <v>Luminária tipo sobrepor, aberta, para 1 lâmpada fluorescente de 20 W, ref. 211-R A. B. Leão ou similar, inclusive reator alto fator de potência lâmpada, demais acessórios e instalação.</v>
          </cell>
          <cell r="D244" t="str">
            <v>cj</v>
          </cell>
          <cell r="F244">
            <v>22.57</v>
          </cell>
          <cell r="G244">
            <v>0</v>
          </cell>
        </row>
        <row r="245">
          <cell r="B245" t="str">
            <v>18.25.060</v>
          </cell>
          <cell r="C245" t="str">
            <v>Luminária tipo sobrepor, aberta, para 2 lâmpadas fluorescente de 20 W, ref. 211-R A. B. Leão ou similar, inclusive reator alto fator de potência lâmpada, demais acessórios e instalação.</v>
          </cell>
          <cell r="D245" t="str">
            <v>cj</v>
          </cell>
          <cell r="F245">
            <v>33.26</v>
          </cell>
          <cell r="G245">
            <v>0</v>
          </cell>
        </row>
        <row r="246">
          <cell r="B246" t="str">
            <v>18.25.070</v>
          </cell>
          <cell r="C246" t="str">
            <v>Luminária tipo sobrepor, aberta, para 1 lâmpada fluorescente de 40 W, ref. 211-R A. B. Leão ou similar, inclusive reator alto fator de potência lâmpada, demais acessórios e instalação.</v>
          </cell>
          <cell r="D246" t="str">
            <v>cj</v>
          </cell>
          <cell r="F246">
            <v>23.67</v>
          </cell>
          <cell r="G246">
            <v>0</v>
          </cell>
        </row>
        <row r="247">
          <cell r="B247" t="str">
            <v>18.25.071</v>
          </cell>
          <cell r="C247" t="str">
            <v>Fornecimento e colocação de lâmpada vapor de mercúrio 250 W.</v>
          </cell>
          <cell r="D247" t="str">
            <v>un</v>
          </cell>
          <cell r="F247">
            <v>16.54</v>
          </cell>
        </row>
        <row r="248">
          <cell r="B248" t="str">
            <v>18.25.080</v>
          </cell>
          <cell r="C248" t="str">
            <v>Luminária tipo sobrepor, aberta, para 2 lâmpadas fluorescente de 40 W, ref. 211-R A. B. Leão ou similar, inclusive reator alto fator de potência lâmpada, demais acessórios e instalação.</v>
          </cell>
          <cell r="D248" t="str">
            <v>cj</v>
          </cell>
          <cell r="F248">
            <v>35.26</v>
          </cell>
          <cell r="G248">
            <v>0</v>
          </cell>
        </row>
        <row r="249">
          <cell r="B249" t="str">
            <v>18.25.082</v>
          </cell>
          <cell r="C249" t="str">
            <v>Conjunto de reator 220 v / 60 HI - 2.000 W</v>
          </cell>
          <cell r="D249" t="str">
            <v>un</v>
          </cell>
        </row>
        <row r="250">
          <cell r="B250" t="str">
            <v>18.25.090</v>
          </cell>
          <cell r="C250" t="str">
            <v>Luminária tipo Drops em globo de vidro leitoso, ref. 515 A.B Leão, ou similar, completa, inclusive lâmpada e instalação.</v>
          </cell>
          <cell r="D250" t="str">
            <v>cj</v>
          </cell>
          <cell r="F250">
            <v>21.26</v>
          </cell>
          <cell r="G250">
            <v>0</v>
          </cell>
        </row>
        <row r="251">
          <cell r="B251" t="str">
            <v>18.25.095</v>
          </cell>
          <cell r="C251" t="str">
            <v>Lâmpada incandescende de 100 W</v>
          </cell>
          <cell r="D251" t="str">
            <v>un</v>
          </cell>
          <cell r="F251">
            <v>1.37</v>
          </cell>
          <cell r="G251">
            <v>0</v>
          </cell>
        </row>
        <row r="252">
          <cell r="B252" t="str">
            <v>18.25.100</v>
          </cell>
          <cell r="C252" t="str">
            <v>Luminária tipo Bedd (Prato), ref. 805 A.B. Leão ou similar, com pendente e suporte, inclusive lâmpada e instalação.</v>
          </cell>
          <cell r="D252" t="str">
            <v>cj</v>
          </cell>
          <cell r="F252">
            <v>30.6</v>
          </cell>
          <cell r="G252">
            <v>0</v>
          </cell>
        </row>
        <row r="253">
          <cell r="B253" t="str">
            <v>18.25.110</v>
          </cell>
          <cell r="C253" t="str">
            <v>Luminária tipo arandela, ref. 403 A.B.Leão ou similar, completa, inclusive lâmpada e instalação.</v>
          </cell>
          <cell r="D253" t="str">
            <v>cj</v>
          </cell>
          <cell r="F253">
            <v>23.41</v>
          </cell>
          <cell r="G253">
            <v>0</v>
          </cell>
        </row>
        <row r="254">
          <cell r="B254" t="str">
            <v>18.25.111</v>
          </cell>
          <cell r="C254" t="str">
            <v>Lâmpada fluorescente universal de 20 W, Phillips ou Osram, inclusive instalação.</v>
          </cell>
          <cell r="D254" t="str">
            <v>un</v>
          </cell>
          <cell r="F254">
            <v>5.5</v>
          </cell>
          <cell r="G254">
            <v>0</v>
          </cell>
        </row>
        <row r="255">
          <cell r="B255" t="str">
            <v>18.25.115</v>
          </cell>
          <cell r="C255" t="str">
            <v>Lâmpada de 40 W.</v>
          </cell>
          <cell r="D255" t="str">
            <v>un</v>
          </cell>
          <cell r="F255">
            <v>5.51</v>
          </cell>
          <cell r="G255">
            <v>0</v>
          </cell>
        </row>
        <row r="256">
          <cell r="B256" t="str">
            <v>18.25.116</v>
          </cell>
          <cell r="C256" t="str">
            <v>Reator</v>
          </cell>
          <cell r="D256" t="str">
            <v>un</v>
          </cell>
          <cell r="F256">
            <v>8.07</v>
          </cell>
          <cell r="G256">
            <v>0</v>
          </cell>
        </row>
        <row r="257">
          <cell r="B257" t="str">
            <v>18.25.117</v>
          </cell>
          <cell r="C257" t="str">
            <v>Reator com lâmpada a vapor de mercúrio.</v>
          </cell>
          <cell r="D257" t="str">
            <v>un</v>
          </cell>
          <cell r="F257">
            <v>54.54</v>
          </cell>
          <cell r="G257">
            <v>0</v>
          </cell>
        </row>
        <row r="258">
          <cell r="B258" t="str">
            <v>18.25.118</v>
          </cell>
          <cell r="C258" t="str">
            <v>Reator para lâmpada fluorescente de 40 W, Phillips ou Osram, inclusive instalação.</v>
          </cell>
          <cell r="D258" t="str">
            <v>un</v>
          </cell>
          <cell r="G258">
            <v>0</v>
          </cell>
        </row>
        <row r="259">
          <cell r="B259" t="str">
            <v>18.25.117</v>
          </cell>
          <cell r="C259" t="str">
            <v>Reator exter.408/E AB Leào ou similar, completo com lâmpada a vapor de mercúrio de 250 m, reator de potência instalações e acessórios correspondentes</v>
          </cell>
          <cell r="D259" t="str">
            <v>un</v>
          </cell>
          <cell r="F259">
            <v>62.18</v>
          </cell>
        </row>
        <row r="260">
          <cell r="B260" t="str">
            <v>18.25.119</v>
          </cell>
          <cell r="C260" t="str">
            <v>Luminária tipo tartaruga.</v>
          </cell>
          <cell r="D260" t="str">
            <v>cj</v>
          </cell>
        </row>
        <row r="261">
          <cell r="B261" t="str">
            <v>18.25.120</v>
          </cell>
          <cell r="C261" t="str">
            <v>Luminária de jardim.</v>
          </cell>
          <cell r="D261" t="str">
            <v>cj</v>
          </cell>
          <cell r="F261">
            <v>75</v>
          </cell>
        </row>
        <row r="262">
          <cell r="B262" t="str">
            <v>18.25.130</v>
          </cell>
          <cell r="C262" t="str">
            <v>Luminária tipo Stop, ref. 401 - P A.B. Leão ou similar, completa, inclusive lâmpada e instalção.</v>
          </cell>
          <cell r="D262" t="str">
            <v>cj</v>
          </cell>
          <cell r="F262">
            <v>11.54</v>
          </cell>
          <cell r="G262">
            <v>0</v>
          </cell>
        </row>
        <row r="263">
          <cell r="B263" t="str">
            <v>18.25.140</v>
          </cell>
          <cell r="C263" t="str">
            <v xml:space="preserve">Refletor externo ref. 408 / E A.B. Leão ou similar, completo,  inclusive lâmpada e instalação. </v>
          </cell>
          <cell r="D263" t="str">
            <v>cj</v>
          </cell>
          <cell r="F263">
            <v>30.6</v>
          </cell>
          <cell r="G263">
            <v>0</v>
          </cell>
        </row>
        <row r="264">
          <cell r="B264" t="str">
            <v>18.25.145</v>
          </cell>
          <cell r="C264" t="str">
            <v>Fornecimento e colocação de refletor externo DN 30, inclusive ponto de luz.</v>
          </cell>
          <cell r="D264" t="str">
            <v>cj</v>
          </cell>
          <cell r="F264">
            <v>96.24</v>
          </cell>
        </row>
        <row r="265">
          <cell r="B265" t="str">
            <v>18.25.170</v>
          </cell>
          <cell r="C265" t="str">
            <v>Luminária para lâmpada a vapor de mercúrio de 125 W, ref. ABL 50 / F A.B. Leão ou similar, completa, inclusive branco, lâmpada, reator alto de potência e instalação.</v>
          </cell>
          <cell r="D265" t="str">
            <v>cj</v>
          </cell>
          <cell r="F265">
            <v>109.45</v>
          </cell>
          <cell r="G265">
            <v>0</v>
          </cell>
        </row>
        <row r="266">
          <cell r="B266" t="str">
            <v>18.25.180</v>
          </cell>
          <cell r="C266" t="str">
            <v>Luminária para lâmpada a vapor de mercúrio de 250 W, ref. ABL 50 / F A.B. Leão ou similar, completa, inclusive braço, lâmpada, reator alto fator de potência e instalação.</v>
          </cell>
          <cell r="D266" t="str">
            <v>cj</v>
          </cell>
          <cell r="F266">
            <v>202.97</v>
          </cell>
          <cell r="G266">
            <v>0</v>
          </cell>
        </row>
        <row r="267">
          <cell r="B267" t="str">
            <v>18.25.183</v>
          </cell>
          <cell r="C267" t="str">
            <v>Galpão industrial simples</v>
          </cell>
          <cell r="D267" t="str">
            <v>vb</v>
          </cell>
          <cell r="F267">
            <v>1219.8</v>
          </cell>
          <cell r="G267">
            <v>0</v>
          </cell>
        </row>
        <row r="268">
          <cell r="B268" t="str">
            <v>18.25.184</v>
          </cell>
          <cell r="C268" t="str">
            <v>Escultura</v>
          </cell>
          <cell r="D268" t="str">
            <v>vb</v>
          </cell>
          <cell r="F268">
            <v>2089.9899999999998</v>
          </cell>
          <cell r="G268">
            <v>0</v>
          </cell>
        </row>
        <row r="269">
          <cell r="B269" t="str">
            <v>18.25.185</v>
          </cell>
          <cell r="C269" t="str">
            <v>Idenização de barraca de tábua.</v>
          </cell>
          <cell r="D269" t="str">
            <v>vb</v>
          </cell>
          <cell r="F269">
            <v>894.9</v>
          </cell>
          <cell r="G269">
            <v>0</v>
          </cell>
        </row>
        <row r="270">
          <cell r="B270" t="str">
            <v>18.25.186</v>
          </cell>
          <cell r="C270" t="str">
            <v xml:space="preserve">Idenização de barraca </v>
          </cell>
          <cell r="D270" t="str">
            <v>vb</v>
          </cell>
          <cell r="F270">
            <v>1281.3599999999999</v>
          </cell>
          <cell r="G270">
            <v>0</v>
          </cell>
        </row>
        <row r="271">
          <cell r="B271" t="str">
            <v>18.25.187</v>
          </cell>
          <cell r="C271" t="str">
            <v>Desapropriação de terreno e edificações.</v>
          </cell>
          <cell r="D271" t="str">
            <v>vb</v>
          </cell>
          <cell r="F271">
            <v>3251755</v>
          </cell>
          <cell r="G271">
            <v>0</v>
          </cell>
        </row>
        <row r="272">
          <cell r="B272" t="str">
            <v>18.25.188</v>
          </cell>
          <cell r="C272" t="str">
            <v>Grelha de ferro</v>
          </cell>
          <cell r="D272" t="str">
            <v>vb</v>
          </cell>
          <cell r="F272">
            <v>1432.27</v>
          </cell>
          <cell r="G272">
            <v>0</v>
          </cell>
        </row>
        <row r="273">
          <cell r="B273" t="str">
            <v>18.25.190</v>
          </cell>
          <cell r="C273" t="str">
            <v>Luminária para lâmpada a vapor de mercúrio de 125 W, ref. ABL 50 / A.B. Leão ou similar, completa, inclusive braço, lâmpada, reator alto fator de potência e instalação.</v>
          </cell>
          <cell r="D273" t="str">
            <v>cj</v>
          </cell>
          <cell r="F273">
            <v>99.95</v>
          </cell>
          <cell r="G273">
            <v>0</v>
          </cell>
        </row>
        <row r="274">
          <cell r="B274" t="str">
            <v>18.25.200</v>
          </cell>
          <cell r="C274" t="str">
            <v>Luminária para lâmpada a vapor de mercúrio de 250 W, ref. ABL 50 / A.B. Leão ou similar, completa, inclusive braço, lâmpada, reator alto fator de potência e instalação.</v>
          </cell>
          <cell r="D274" t="str">
            <v>cj</v>
          </cell>
          <cell r="F274">
            <v>113.35</v>
          </cell>
          <cell r="G274">
            <v>0</v>
          </cell>
        </row>
        <row r="275">
          <cell r="B275" t="str">
            <v>18.25.210</v>
          </cell>
          <cell r="C275" t="str">
            <v>Luminária para lâmpada a vapor de mercúrio de 400 W, ref. ABL 50 / 400 A.B. Leão ou similar, completa, inclusive braço, lâmpada, reator alto fator de potência e instalação.</v>
          </cell>
          <cell r="D275" t="str">
            <v>un</v>
          </cell>
          <cell r="F275">
            <v>176.95</v>
          </cell>
          <cell r="G275">
            <v>0</v>
          </cell>
        </row>
        <row r="276">
          <cell r="B276" t="str">
            <v>18.25.211</v>
          </cell>
          <cell r="C276" t="str">
            <v>Projetor com uma lâmpada de vapor metálico de 2.000 W</v>
          </cell>
          <cell r="D276" t="str">
            <v>un</v>
          </cell>
        </row>
        <row r="278">
          <cell r="B278" t="str">
            <v>18.26</v>
          </cell>
        </row>
        <row r="279">
          <cell r="B279" t="str">
            <v>18.26.010</v>
          </cell>
          <cell r="C279" t="str">
            <v>Assentamento de haste de aterramento de 5/8" x 2,40 m Copperweld ou similar, com conector paralelo e parafusos (inclusive o fornecimento do material).</v>
          </cell>
          <cell r="D279" t="str">
            <v>un</v>
          </cell>
          <cell r="F279">
            <v>19.190000000000001</v>
          </cell>
          <cell r="G279">
            <v>0</v>
          </cell>
        </row>
        <row r="280">
          <cell r="B280" t="str">
            <v>18.26.020</v>
          </cell>
          <cell r="C280" t="str">
            <v xml:space="preserve">Assentamento de bengala de PVC rígido de 3/4 pol., marca Tigre ou similar, inclusive rasgo em alvenaria e fornecimento do material. </v>
          </cell>
          <cell r="D280" t="str">
            <v>un</v>
          </cell>
          <cell r="F280">
            <v>10.37</v>
          </cell>
          <cell r="G280">
            <v>0</v>
          </cell>
        </row>
        <row r="281">
          <cell r="B281" t="str">
            <v>18.26.025</v>
          </cell>
          <cell r="C281" t="str">
            <v>Assentamento de bengala 1".</v>
          </cell>
          <cell r="D281" t="str">
            <v>un</v>
          </cell>
          <cell r="F281">
            <v>8.4600000000000009</v>
          </cell>
          <cell r="G281">
            <v>0</v>
          </cell>
        </row>
        <row r="282">
          <cell r="B282" t="str">
            <v>18.26.030</v>
          </cell>
          <cell r="C282" t="str">
            <v>Assentamento de chave de boia automática, 15 A, superior ou inferior marca lenz ou similar (inclusive o fornecimento do material).</v>
          </cell>
          <cell r="D282" t="str">
            <v>un</v>
          </cell>
          <cell r="F282">
            <v>16.21</v>
          </cell>
          <cell r="G282">
            <v>0</v>
          </cell>
        </row>
        <row r="283">
          <cell r="B283" t="str">
            <v>18.26.040</v>
          </cell>
          <cell r="C283" t="str">
            <v>Assentamento de chave reversora blindada 30 A, 500 V, Eletromar ou similar (inclusive o fornecimento do material).</v>
          </cell>
          <cell r="D283" t="str">
            <v>un</v>
          </cell>
          <cell r="F283">
            <v>53.26</v>
          </cell>
          <cell r="G283">
            <v>0</v>
          </cell>
        </row>
        <row r="284">
          <cell r="B284" t="str">
            <v>18.26.045</v>
          </cell>
          <cell r="C284" t="str">
            <v>Assentamento de chave reversora blindada 30 A, 250 V, Eletromar ou similar (inclusive o fornecimento do material).</v>
          </cell>
          <cell r="D284" t="str">
            <v>un</v>
          </cell>
          <cell r="F284">
            <v>49.58</v>
          </cell>
          <cell r="G284">
            <v>0</v>
          </cell>
        </row>
        <row r="285">
          <cell r="B285" t="str">
            <v>18.26.050</v>
          </cell>
          <cell r="C285" t="str">
            <v>Assentamento de chave magnético guarda-motor até 7,5 cv, Eletromar ou similar (inclusive fornecimento do material)</v>
          </cell>
          <cell r="D285" t="str">
            <v>un</v>
          </cell>
          <cell r="F285">
            <v>140.63</v>
          </cell>
          <cell r="G285">
            <v>0</v>
          </cell>
        </row>
        <row r="286">
          <cell r="B286" t="str">
            <v>18.26.060</v>
          </cell>
          <cell r="C286" t="str">
            <v>Assentamento de chave magnética de 2 x 30 A para comando de iluminação pública, acionada para rele foto-elétrico NA, 220 V, 60 HZ, tipo lux control modelo CIP - F / 70, (inclusive fornecimento do material).</v>
          </cell>
          <cell r="D286" t="str">
            <v>un</v>
          </cell>
          <cell r="F286">
            <v>198.6</v>
          </cell>
          <cell r="G286">
            <v>0</v>
          </cell>
        </row>
        <row r="287">
          <cell r="B287" t="str">
            <v>18.26.065</v>
          </cell>
          <cell r="C287" t="str">
            <v>Fornecimento e colocação de braçadeiras para fixação dos eletrodutos.</v>
          </cell>
          <cell r="D287" t="str">
            <v>un</v>
          </cell>
          <cell r="F287">
            <v>1.43</v>
          </cell>
        </row>
        <row r="288">
          <cell r="B288" t="str">
            <v>18.26.070</v>
          </cell>
          <cell r="C288" t="str">
            <v>Lixeira.</v>
          </cell>
          <cell r="D288" t="str">
            <v>un</v>
          </cell>
          <cell r="F288">
            <v>12.88</v>
          </cell>
        </row>
        <row r="289">
          <cell r="B289" t="str">
            <v>18.26.071</v>
          </cell>
          <cell r="C289" t="str">
            <v>Confecção de lixeira em fibra Gless</v>
          </cell>
          <cell r="D289" t="str">
            <v>un</v>
          </cell>
          <cell r="F289">
            <v>76.87</v>
          </cell>
        </row>
        <row r="290">
          <cell r="B290" t="str">
            <v>18.26.072</v>
          </cell>
          <cell r="C290" t="str">
            <v>Colocação de calha em PVC para proteção de instalação elétrica aparente.</v>
          </cell>
          <cell r="D290" t="str">
            <v>m</v>
          </cell>
          <cell r="F290">
            <v>1.29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ILHA FONTE"/>
      <sheetName val="teat-mus"/>
      <sheetName val="arte"/>
      <sheetName val="Lanchonete"/>
      <sheetName val="Loja 1"/>
      <sheetName val="Loja 2"/>
      <sheetName val="terraço de ativ."/>
      <sheetName val="se-ilum ext"/>
      <sheetName val="BM 01"/>
      <sheetName val="MEMORIA BM 01"/>
      <sheetName val="GERAL - COM DESONERAÇÃO"/>
      <sheetName val="GERAL - SEM DESONERAÇÃO"/>
      <sheetName val="ORCAMENTO COM DES"/>
      <sheetName val="MEM CÁLC COM DES"/>
      <sheetName val="_RESUMO COMPARATIVO_"/>
      <sheetName val="CRONOGRAMA "/>
      <sheetName val="BDI_PAV_26,01_NOVA_CPRB"/>
      <sheetName val="BDI_PAV_20,00_NOVA_CPRB"/>
    </sheetNames>
    <sheetDataSet>
      <sheetData sheetId="0" refreshError="1">
        <row r="1">
          <cell r="B1" t="str">
            <v>18.01</v>
          </cell>
        </row>
        <row r="2">
          <cell r="B2" t="str">
            <v>18.01.005</v>
          </cell>
          <cell r="C2" t="str">
            <v>Fio de cobre nu, tempera meio-duro, classe 1A S.M. - 10 mm², inclusive assentamento.</v>
          </cell>
          <cell r="D2" t="str">
            <v>m</v>
          </cell>
          <cell r="F2">
            <v>1.84</v>
          </cell>
          <cell r="G2">
            <v>0</v>
          </cell>
        </row>
        <row r="3">
          <cell r="B3" t="str">
            <v>18.01.010</v>
          </cell>
          <cell r="C3" t="str">
            <v>Fio de cobre, tempera meio-duro, classe 1, com cobertura de PVC, tipo WPP, S.M. - 4 mm², inclusive assentamento.</v>
          </cell>
          <cell r="D3" t="str">
            <v>m</v>
          </cell>
          <cell r="F3">
            <v>0.97</v>
          </cell>
          <cell r="G3">
            <v>0</v>
          </cell>
        </row>
        <row r="4">
          <cell r="B4" t="str">
            <v>18.01.015</v>
          </cell>
          <cell r="C4" t="str">
            <v>Desativação da rede elétrica existente.</v>
          </cell>
          <cell r="D4" t="str">
            <v>vb</v>
          </cell>
          <cell r="F4">
            <v>283.14</v>
          </cell>
        </row>
        <row r="5">
          <cell r="B5" t="str">
            <v>18.01.016</v>
          </cell>
          <cell r="C5" t="str">
            <v>Revisão do circuito elétrico que alimenta as luminárias para lâmpadas vapor mercúrio (aproveitamento de 90 % da fiação existente).</v>
          </cell>
          <cell r="D5" t="str">
            <v>vb</v>
          </cell>
          <cell r="F5">
            <v>613.08000000000004</v>
          </cell>
        </row>
        <row r="6">
          <cell r="B6" t="str">
            <v>18.01.020</v>
          </cell>
          <cell r="C6" t="str">
            <v>Fio de cobre, tempera meio-duro, classe 1, com cobertura de PVC, tipo WPP, S.M. - 6 mm², inclusive assentamento.</v>
          </cell>
          <cell r="D6" t="str">
            <v>m</v>
          </cell>
          <cell r="F6">
            <v>1.1599999999999999</v>
          </cell>
          <cell r="G6">
            <v>0</v>
          </cell>
        </row>
        <row r="7">
          <cell r="B7" t="str">
            <v>18.01.025</v>
          </cell>
          <cell r="C7" t="str">
            <v>Fio de cobre, tempera meio-duro, classe 1, com cobertura de PVC, tipo WPP, S.M. - 10 mm², inclusive assentamento.</v>
          </cell>
          <cell r="D7" t="str">
            <v>m</v>
          </cell>
          <cell r="F7">
            <v>1.62</v>
          </cell>
          <cell r="G7">
            <v>0</v>
          </cell>
        </row>
        <row r="8">
          <cell r="B8" t="str">
            <v>18.01.030</v>
          </cell>
          <cell r="C8" t="str">
            <v>Cabo de cobre, tempera meio-duro, encordoamento classe 2, com cobertura de PVC, tipo WPP, S.M. - 10 mm², inclusive assentamento.</v>
          </cell>
          <cell r="D8" t="str">
            <v>m</v>
          </cell>
          <cell r="F8">
            <v>1.64</v>
          </cell>
          <cell r="G8">
            <v>0</v>
          </cell>
        </row>
        <row r="9">
          <cell r="B9" t="str">
            <v>18.01.040</v>
          </cell>
          <cell r="C9" t="str">
            <v>Cabo de cobre, tempera meio-duro, encordoamento classe 2, com cobertura de PVC, tipo WPP, S.M. - 16 mm², inclusive assentamento.</v>
          </cell>
          <cell r="D9" t="str">
            <v>m</v>
          </cell>
          <cell r="F9">
            <v>2.44</v>
          </cell>
          <cell r="G9">
            <v>0</v>
          </cell>
        </row>
        <row r="10">
          <cell r="B10" t="str">
            <v>18.01.050</v>
          </cell>
          <cell r="C10" t="str">
            <v>Cabo de cobre, tempera meio-duro, encordoamento classe 2, com cobertura de PVC, tipo WPP, S.M. - 25 mm², inclusive assentamento.</v>
          </cell>
          <cell r="D10" t="str">
            <v>m</v>
          </cell>
          <cell r="F10">
            <v>3.24</v>
          </cell>
          <cell r="G10">
            <v>0</v>
          </cell>
        </row>
        <row r="11">
          <cell r="B11" t="str">
            <v>18.01.060</v>
          </cell>
          <cell r="C11" t="str">
            <v xml:space="preserve">Fornecimento e instalação de cabo de cobre nutrancado e asete fios, de tempera mole, bitola de 16 mm2. </v>
          </cell>
          <cell r="D11" t="str">
            <v>m</v>
          </cell>
          <cell r="F11">
            <v>3.4</v>
          </cell>
          <cell r="G11">
            <v>0</v>
          </cell>
        </row>
        <row r="13">
          <cell r="B13" t="str">
            <v>18.02</v>
          </cell>
        </row>
        <row r="14">
          <cell r="B14" t="str">
            <v>18.02.005</v>
          </cell>
          <cell r="C14" t="str">
            <v>Colocação de poste de ferro</v>
          </cell>
          <cell r="D14" t="str">
            <v>m</v>
          </cell>
          <cell r="F14">
            <v>6.51</v>
          </cell>
          <cell r="G14">
            <v>0</v>
          </cell>
        </row>
        <row r="15">
          <cell r="B15" t="str">
            <v>18.02.010</v>
          </cell>
          <cell r="C15" t="str">
            <v>Retirada de postes de concreto secção duplo T200 / 8 com engastamento direto no solo de 1,40 m (Poste 184-570, 18570 e mais dois sem identificação)</v>
          </cell>
          <cell r="D15" t="str">
            <v>un</v>
          </cell>
          <cell r="F15">
            <v>51.97</v>
          </cell>
          <cell r="G15">
            <v>0</v>
          </cell>
        </row>
        <row r="16">
          <cell r="B16" t="str">
            <v>18.02.020</v>
          </cell>
          <cell r="C16" t="str">
            <v>Poste de concreto secção duplo T, 100/8, com engastamento direto no solo de 1,40 m, inclusive colocação.</v>
          </cell>
          <cell r="D16" t="str">
            <v>un</v>
          </cell>
          <cell r="F16">
            <v>141.27000000000001</v>
          </cell>
          <cell r="G16">
            <v>0</v>
          </cell>
        </row>
        <row r="17">
          <cell r="B17" t="str">
            <v>18.02.025</v>
          </cell>
          <cell r="C17" t="str">
            <v>Fornecimento e instalação de poste ornamental com h=4,0 m, sendo 1,0 m de enterrado, com 03 luminárias, vidro transparente modelo MLD 304 / B, bem como pintura á óleo, duas demãos, cor preta, conforme projeto.</v>
          </cell>
          <cell r="D17" t="str">
            <v>un</v>
          </cell>
          <cell r="F17">
            <v>239.88</v>
          </cell>
          <cell r="G17">
            <v>0</v>
          </cell>
        </row>
        <row r="18">
          <cell r="B18" t="str">
            <v>18.02.026</v>
          </cell>
          <cell r="C18" t="str">
            <v>Deslocamento de poste.</v>
          </cell>
          <cell r="D18" t="str">
            <v>un</v>
          </cell>
          <cell r="F18">
            <v>67.33</v>
          </cell>
          <cell r="G18">
            <v>0</v>
          </cell>
        </row>
        <row r="19">
          <cell r="B19" t="str">
            <v>18.02.030</v>
          </cell>
          <cell r="C19" t="str">
            <v>Poste de concreto secção duplo T, 200/8, com engastamento direto no solo de 1,40 m, inclusive colocação.</v>
          </cell>
          <cell r="D19" t="str">
            <v>un</v>
          </cell>
          <cell r="F19">
            <v>160.6</v>
          </cell>
          <cell r="G19">
            <v>0</v>
          </cell>
        </row>
        <row r="20">
          <cell r="B20" t="str">
            <v>18.02.040</v>
          </cell>
          <cell r="C20" t="str">
            <v>Poste de concreto secção duplo T, 200/12, com engastamento direto no solo de 1,80 m, inclusive colocação.</v>
          </cell>
          <cell r="D20" t="str">
            <v>un</v>
          </cell>
          <cell r="F20">
            <v>264.32</v>
          </cell>
          <cell r="G20">
            <v>0</v>
          </cell>
        </row>
        <row r="21">
          <cell r="B21" t="str">
            <v>18.02.045</v>
          </cell>
          <cell r="C21" t="str">
            <v>Poste de concreto secção duplo T, 300/8, com engastamento direto no solo de 1,40 m, inclusive colocação.</v>
          </cell>
          <cell r="D21" t="str">
            <v>un</v>
          </cell>
          <cell r="F21">
            <v>193.4</v>
          </cell>
          <cell r="G21">
            <v>0</v>
          </cell>
        </row>
        <row r="22">
          <cell r="B22" t="str">
            <v>18.02.050</v>
          </cell>
          <cell r="C22" t="str">
            <v>Poste de concreto secção duplo T, 300/12, com engastamento direto no solo de 1,80 m, inclusive colocação.</v>
          </cell>
          <cell r="D22" t="str">
            <v>un</v>
          </cell>
          <cell r="F22">
            <v>55.74</v>
          </cell>
          <cell r="G22">
            <v>0</v>
          </cell>
        </row>
        <row r="23">
          <cell r="B23" t="str">
            <v>18.02.051</v>
          </cell>
          <cell r="C23" t="str">
            <v xml:space="preserve">Super poste de concreto armado circular com altura de 20 m. </v>
          </cell>
          <cell r="D23" t="str">
            <v>un</v>
          </cell>
          <cell r="F23">
            <v>2209.3200000000002</v>
          </cell>
          <cell r="G23">
            <v>0</v>
          </cell>
        </row>
        <row r="24">
          <cell r="B24" t="str">
            <v>18.02.060</v>
          </cell>
          <cell r="C24" t="str">
            <v>Poste de concreto c/ seção circular c/ iluminação de 3 pétalas c/ altura de 8 m inclusive colocação, fixação e base de concreto p/ fixação</v>
          </cell>
          <cell r="D24" t="str">
            <v>un</v>
          </cell>
          <cell r="F24">
            <v>888.06</v>
          </cell>
        </row>
        <row r="25">
          <cell r="B25" t="str">
            <v>18.02.070</v>
          </cell>
          <cell r="C25" t="str">
            <v>Poste ornamental.</v>
          </cell>
          <cell r="D25" t="str">
            <v>un</v>
          </cell>
          <cell r="F25">
            <v>210.72</v>
          </cell>
        </row>
        <row r="26">
          <cell r="B26" t="str">
            <v>18.02.071</v>
          </cell>
          <cell r="C26" t="str">
            <v>Poste em concreto vibrado seção circular 9 m - 200 kg</v>
          </cell>
          <cell r="D26" t="str">
            <v>un</v>
          </cell>
          <cell r="F26">
            <v>216</v>
          </cell>
        </row>
        <row r="27">
          <cell r="B27" t="str">
            <v>18.02.080</v>
          </cell>
          <cell r="C27" t="str">
            <v>Fornecimento e instalação de rele fotoelétrico, 1000 w - 220 v.</v>
          </cell>
          <cell r="D27" t="str">
            <v>un</v>
          </cell>
          <cell r="F27">
            <v>18</v>
          </cell>
        </row>
        <row r="29">
          <cell r="B29" t="str">
            <v>18.03</v>
          </cell>
        </row>
        <row r="30">
          <cell r="B30" t="str">
            <v>18.03.010</v>
          </cell>
          <cell r="C30" t="str">
            <v>Estrutura secundária B1 completa, inclusive fixação.</v>
          </cell>
          <cell r="D30" t="str">
            <v>un</v>
          </cell>
          <cell r="F30">
            <v>29.1</v>
          </cell>
          <cell r="G30">
            <v>0</v>
          </cell>
        </row>
        <row r="31">
          <cell r="B31" t="str">
            <v>18.03.015</v>
          </cell>
          <cell r="C31" t="str">
            <v>Estrutura secundária B2 completa, inclusive fixação.</v>
          </cell>
          <cell r="D31" t="str">
            <v>un</v>
          </cell>
          <cell r="F31">
            <v>35.21</v>
          </cell>
          <cell r="G31">
            <v>0</v>
          </cell>
        </row>
        <row r="32">
          <cell r="B32" t="str">
            <v>18.03.020</v>
          </cell>
          <cell r="C32" t="str">
            <v>Estrutura secundária B3 completa, inclusive fixação.</v>
          </cell>
          <cell r="D32" t="str">
            <v>un</v>
          </cell>
          <cell r="F32">
            <v>59.23</v>
          </cell>
          <cell r="G32">
            <v>0</v>
          </cell>
        </row>
        <row r="33">
          <cell r="B33" t="str">
            <v>18.03.030</v>
          </cell>
          <cell r="C33" t="str">
            <v>Estrutura secundária B4 completa, inclusive fixação.</v>
          </cell>
          <cell r="D33" t="str">
            <v>un</v>
          </cell>
          <cell r="F33">
            <v>65.989999999999995</v>
          </cell>
          <cell r="G33">
            <v>0</v>
          </cell>
        </row>
        <row r="34">
          <cell r="B34" t="str">
            <v>18.03.031</v>
          </cell>
          <cell r="C34" t="str">
            <v>Cabo de iluminação 1/0 AWG - NU</v>
          </cell>
          <cell r="D34" t="str">
            <v>m</v>
          </cell>
          <cell r="F34">
            <v>19.54</v>
          </cell>
          <cell r="G34">
            <v>0</v>
          </cell>
        </row>
        <row r="35">
          <cell r="B35" t="str">
            <v>18.03.032</v>
          </cell>
          <cell r="C35" t="str">
            <v>Isoladores tipo castanha</v>
          </cell>
          <cell r="D35" t="str">
            <v>un</v>
          </cell>
          <cell r="F35">
            <v>17.399999999999999</v>
          </cell>
          <cell r="G35">
            <v>0</v>
          </cell>
        </row>
        <row r="36">
          <cell r="B36" t="str">
            <v>18.03.033</v>
          </cell>
          <cell r="C36" t="str">
            <v>Foto célula tipo NA.</v>
          </cell>
          <cell r="D36" t="str">
            <v>un</v>
          </cell>
          <cell r="F36">
            <v>12.77</v>
          </cell>
          <cell r="G36">
            <v>0</v>
          </cell>
        </row>
        <row r="38">
          <cell r="B38" t="str">
            <v>18.04</v>
          </cell>
        </row>
        <row r="39">
          <cell r="B39" t="str">
            <v>18.04.010</v>
          </cell>
          <cell r="C39" t="str">
            <v>Eletroduto de ferro galvanizado de 3/4 pol., inclusive assentamento.</v>
          </cell>
          <cell r="D39" t="str">
            <v>m</v>
          </cell>
          <cell r="F39">
            <v>4.9000000000000004</v>
          </cell>
          <cell r="G39">
            <v>0</v>
          </cell>
        </row>
        <row r="40">
          <cell r="B40" t="str">
            <v>18.04.020</v>
          </cell>
          <cell r="C40" t="str">
            <v>Eletroduto de ferro galvanizado de 1 pol., inclusive assentamento.</v>
          </cell>
          <cell r="D40" t="str">
            <v>m</v>
          </cell>
          <cell r="F40">
            <v>7.43</v>
          </cell>
          <cell r="G40">
            <v>0</v>
          </cell>
        </row>
        <row r="41">
          <cell r="B41" t="str">
            <v>18.04.030</v>
          </cell>
          <cell r="C41" t="str">
            <v>Eletroduto de ferro galvanizado de 1 1/2 pol., inclusive assentamento.</v>
          </cell>
          <cell r="D41" t="str">
            <v>m</v>
          </cell>
          <cell r="F41">
            <v>11.76</v>
          </cell>
          <cell r="G41">
            <v>0</v>
          </cell>
        </row>
        <row r="42">
          <cell r="B42" t="str">
            <v>18.04.040</v>
          </cell>
          <cell r="C42" t="str">
            <v>Eletroduto de ferro galvanizado de 2 pol., inclusive assentamento.</v>
          </cell>
          <cell r="D42" t="str">
            <v>m</v>
          </cell>
          <cell r="F42">
            <v>15.46</v>
          </cell>
          <cell r="G42">
            <v>0</v>
          </cell>
        </row>
        <row r="43">
          <cell r="B43" t="str">
            <v>18.04.050</v>
          </cell>
          <cell r="C43" t="str">
            <v>Eletroduto de ferro galvanizado de 2 1/2 pol., inclusive assentamento.</v>
          </cell>
          <cell r="D43" t="str">
            <v>m</v>
          </cell>
          <cell r="F43">
            <v>23.01</v>
          </cell>
          <cell r="G43">
            <v>0</v>
          </cell>
        </row>
        <row r="44">
          <cell r="B44" t="str">
            <v>18.04.060</v>
          </cell>
          <cell r="C44" t="str">
            <v>Eletroduto de ferro galvanizado de 4 pol., inclusive assentamento.</v>
          </cell>
          <cell r="D44" t="str">
            <v>m</v>
          </cell>
          <cell r="F44">
            <v>37.299999999999997</v>
          </cell>
          <cell r="G44">
            <v>0</v>
          </cell>
        </row>
        <row r="45">
          <cell r="B45" t="str">
            <v>18.04.061</v>
          </cell>
          <cell r="C45" t="str">
            <v>Eletroduto de PVC rígido de 11/2" com luva de rosca interna, inclusive assentamento</v>
          </cell>
          <cell r="D45" t="str">
            <v>un</v>
          </cell>
          <cell r="F45">
            <v>6.33</v>
          </cell>
        </row>
        <row r="47">
          <cell r="B47" t="str">
            <v>18.05</v>
          </cell>
        </row>
        <row r="48">
          <cell r="B48" t="str">
            <v>18.05.010</v>
          </cell>
          <cell r="C48" t="str">
            <v>Curva de ferro galvanizado de 3/4 pol., inclusive assentamento.</v>
          </cell>
          <cell r="D48" t="str">
            <v>un</v>
          </cell>
          <cell r="F48">
            <v>3.1</v>
          </cell>
          <cell r="G48">
            <v>0</v>
          </cell>
        </row>
        <row r="49">
          <cell r="B49" t="str">
            <v>18.05.020</v>
          </cell>
          <cell r="C49" t="str">
            <v>Curva de ferro galvanizado de 1 pol., inclusive assentamento.</v>
          </cell>
          <cell r="D49" t="str">
            <v>un</v>
          </cell>
          <cell r="F49">
            <v>4.53</v>
          </cell>
          <cell r="G49">
            <v>0</v>
          </cell>
        </row>
        <row r="50">
          <cell r="B50" t="str">
            <v>18.05.030</v>
          </cell>
          <cell r="C50" t="str">
            <v>Curva de ferro galvanizado de 1 1/2 pol., inclusive assentamento.</v>
          </cell>
          <cell r="D50" t="str">
            <v>un</v>
          </cell>
          <cell r="F50">
            <v>10.41</v>
          </cell>
          <cell r="G50">
            <v>0</v>
          </cell>
        </row>
        <row r="51">
          <cell r="B51" t="str">
            <v>18.05.040</v>
          </cell>
          <cell r="C51" t="str">
            <v>Curva de ferro galvanizado de 2 pol., inclusive assentamento.</v>
          </cell>
          <cell r="D51" t="str">
            <v>un</v>
          </cell>
          <cell r="F51">
            <v>16.78</v>
          </cell>
          <cell r="G51">
            <v>0</v>
          </cell>
        </row>
        <row r="52">
          <cell r="B52" t="str">
            <v>18.05.050</v>
          </cell>
          <cell r="C52" t="str">
            <v>Curva de ferro galvanizado de 2 1/2 pol., inclusive assentamento.</v>
          </cell>
          <cell r="D52" t="str">
            <v>un</v>
          </cell>
          <cell r="F52">
            <v>36.65</v>
          </cell>
          <cell r="G52">
            <v>0</v>
          </cell>
        </row>
        <row r="53">
          <cell r="B53" t="str">
            <v>18.05.060</v>
          </cell>
          <cell r="C53" t="str">
            <v>Curva de ferro galvanizado de 4 pol., inclusive assentamento.</v>
          </cell>
          <cell r="D53" t="str">
            <v>un</v>
          </cell>
          <cell r="F53">
            <v>76.64</v>
          </cell>
          <cell r="G53">
            <v>0</v>
          </cell>
        </row>
        <row r="54">
          <cell r="B54" t="str">
            <v>18.05.065</v>
          </cell>
          <cell r="C54" t="str">
            <v>Fornecimento e assentamento de haste de aterramento 5/8" x 2,40 m coppereweld</v>
          </cell>
          <cell r="D54" t="str">
            <v>un</v>
          </cell>
          <cell r="F54">
            <v>22.22</v>
          </cell>
        </row>
        <row r="56">
          <cell r="B56" t="str">
            <v>18.06</v>
          </cell>
        </row>
        <row r="57">
          <cell r="B57" t="str">
            <v>18.06.010</v>
          </cell>
          <cell r="C57" t="str">
            <v>Luva de ferro galvanizado de 3/4 pol., inclusive assentamento.</v>
          </cell>
          <cell r="D57" t="str">
            <v>un</v>
          </cell>
          <cell r="F57">
            <v>1.1299999999999999</v>
          </cell>
          <cell r="G57">
            <v>0</v>
          </cell>
        </row>
        <row r="58">
          <cell r="B58" t="str">
            <v>18.06.020</v>
          </cell>
          <cell r="C58" t="str">
            <v>Luva de ferro galvanizado de 1 pol., inclusive assentamento.</v>
          </cell>
          <cell r="D58" t="str">
            <v>un</v>
          </cell>
          <cell r="F58">
            <v>1.68</v>
          </cell>
          <cell r="G58">
            <v>0</v>
          </cell>
        </row>
        <row r="59">
          <cell r="B59" t="str">
            <v>18.06.030</v>
          </cell>
          <cell r="C59" t="str">
            <v>Luva de ferro galvanizado de 1 1/2 pol., inclusive assentamento.</v>
          </cell>
          <cell r="D59" t="str">
            <v>un</v>
          </cell>
          <cell r="F59">
            <v>2.91</v>
          </cell>
          <cell r="G59">
            <v>0</v>
          </cell>
        </row>
        <row r="60">
          <cell r="B60" t="str">
            <v>18.06.040</v>
          </cell>
          <cell r="C60" t="str">
            <v>Luva de ferro galvanizado de 2 pol., inclusive assentamento.</v>
          </cell>
          <cell r="D60" t="str">
            <v>un</v>
          </cell>
          <cell r="F60">
            <v>4.05</v>
          </cell>
          <cell r="G60">
            <v>0</v>
          </cell>
        </row>
        <row r="61">
          <cell r="B61" t="str">
            <v>18.06.050</v>
          </cell>
          <cell r="C61" t="str">
            <v>Luva de ferro galvanizado de 2 1/2 pol., inclusive assentamento.</v>
          </cell>
          <cell r="D61" t="str">
            <v>un</v>
          </cell>
          <cell r="F61">
            <v>7.16</v>
          </cell>
          <cell r="G61">
            <v>0</v>
          </cell>
        </row>
        <row r="62">
          <cell r="B62" t="str">
            <v>18.06.060</v>
          </cell>
          <cell r="C62" t="str">
            <v>Luva de ferro galvanizado de 4 pol., inclusive assentamento.</v>
          </cell>
          <cell r="D62" t="str">
            <v>un</v>
          </cell>
          <cell r="F62">
            <v>13.42</v>
          </cell>
          <cell r="G62">
            <v>0</v>
          </cell>
        </row>
        <row r="63">
          <cell r="B63" t="str">
            <v>18.06.061</v>
          </cell>
          <cell r="C63" t="str">
            <v>Luva de PVC rígido diâmetro de 2".</v>
          </cell>
          <cell r="D63" t="str">
            <v>un</v>
          </cell>
          <cell r="F63">
            <v>1.93</v>
          </cell>
          <cell r="G63">
            <v>0</v>
          </cell>
        </row>
        <row r="64">
          <cell r="B64" t="str">
            <v>18.06.062</v>
          </cell>
          <cell r="C64" t="str">
            <v>Luva de emenda para cabo 10 mm</v>
          </cell>
          <cell r="D64" t="str">
            <v>un</v>
          </cell>
          <cell r="F64">
            <v>0.35</v>
          </cell>
        </row>
        <row r="66">
          <cell r="B66" t="str">
            <v>18.07</v>
          </cell>
        </row>
        <row r="67">
          <cell r="B67" t="str">
            <v>18.07.010</v>
          </cell>
          <cell r="C67" t="str">
            <v>Jogo de bucha e arruela de alumínio de 1/2 pol., inclusive fixação.</v>
          </cell>
          <cell r="D67" t="str">
            <v>cj</v>
          </cell>
          <cell r="F67">
            <v>0.27</v>
          </cell>
          <cell r="G67">
            <v>0</v>
          </cell>
        </row>
        <row r="68">
          <cell r="B68" t="str">
            <v>18.07.020</v>
          </cell>
          <cell r="C68" t="str">
            <v>Jogo de bucha e arruela de alumínio de 3/4 pol., inclusive fixação.</v>
          </cell>
          <cell r="D68" t="str">
            <v>cj</v>
          </cell>
          <cell r="F68">
            <v>0.28999999999999998</v>
          </cell>
          <cell r="G68">
            <v>0</v>
          </cell>
        </row>
        <row r="69">
          <cell r="B69" t="str">
            <v>18.07.030</v>
          </cell>
          <cell r="C69" t="str">
            <v>Jogo de bucha e arruela de alumínio de 1 pol., inclusive fixação.</v>
          </cell>
          <cell r="D69" t="str">
            <v>cj</v>
          </cell>
          <cell r="F69">
            <v>0.45</v>
          </cell>
          <cell r="G69">
            <v>0</v>
          </cell>
        </row>
        <row r="70">
          <cell r="B70" t="str">
            <v>18.07.040</v>
          </cell>
          <cell r="C70" t="str">
            <v>Jogo de bucha e arruela de alumínio de 1 1/2 pol., inclusive fixação.</v>
          </cell>
          <cell r="D70" t="str">
            <v>cj</v>
          </cell>
          <cell r="F70">
            <v>0.85</v>
          </cell>
          <cell r="G70">
            <v>0</v>
          </cell>
        </row>
        <row r="71">
          <cell r="B71" t="str">
            <v>18.07.050</v>
          </cell>
          <cell r="C71" t="str">
            <v>Jogo de bucha e arruela de alumínio de 2 pol., inclusive fixação.</v>
          </cell>
          <cell r="D71" t="str">
            <v>cj</v>
          </cell>
          <cell r="F71">
            <v>1.64</v>
          </cell>
          <cell r="G71">
            <v>0</v>
          </cell>
        </row>
        <row r="72">
          <cell r="B72" t="str">
            <v>18.07.060</v>
          </cell>
          <cell r="C72" t="str">
            <v>Jogo de bucha e arruela de alumínio de 2 1/2 pol., inclusive fixação.</v>
          </cell>
          <cell r="D72" t="str">
            <v>cj</v>
          </cell>
          <cell r="F72">
            <v>2.39</v>
          </cell>
          <cell r="G72">
            <v>0</v>
          </cell>
        </row>
        <row r="73">
          <cell r="B73" t="str">
            <v>18.07.070</v>
          </cell>
          <cell r="C73" t="str">
            <v>Jogo de bucha e arruela de alumínio de 3 pol., inclusive fixação.</v>
          </cell>
          <cell r="D73" t="str">
            <v>cj</v>
          </cell>
          <cell r="F73">
            <v>3.79</v>
          </cell>
          <cell r="G73">
            <v>0</v>
          </cell>
        </row>
        <row r="74">
          <cell r="B74" t="str">
            <v>18.07.072</v>
          </cell>
          <cell r="C74" t="str">
            <v>Ganchos de 5/16".</v>
          </cell>
          <cell r="D74" t="str">
            <v>un</v>
          </cell>
          <cell r="F74">
            <v>0.8</v>
          </cell>
          <cell r="G74">
            <v>0</v>
          </cell>
        </row>
        <row r="75">
          <cell r="B75" t="str">
            <v>18.07.080</v>
          </cell>
          <cell r="C75" t="str">
            <v>Jogo de bucha e arruela de alumínio de 4 pol., inclusive fixação.</v>
          </cell>
          <cell r="D75" t="str">
            <v>cj</v>
          </cell>
          <cell r="F75">
            <v>5.31</v>
          </cell>
          <cell r="G75">
            <v>0</v>
          </cell>
        </row>
        <row r="77">
          <cell r="B77" t="str">
            <v>18.08</v>
          </cell>
        </row>
        <row r="78">
          <cell r="B78" t="str">
            <v>18.08.010</v>
          </cell>
          <cell r="C78" t="str">
            <v>Caixa para medição monofásica uso interno, inclusive colocação (padrão CELPE).</v>
          </cell>
          <cell r="D78" t="str">
            <v>un</v>
          </cell>
          <cell r="F78">
            <v>38.5</v>
          </cell>
          <cell r="G78">
            <v>0</v>
          </cell>
        </row>
        <row r="79">
          <cell r="B79" t="str">
            <v>18.08.020</v>
          </cell>
          <cell r="C79" t="str">
            <v>Caixa para medição monofásica uso externo, inclusive colocação (padrão CELPE).</v>
          </cell>
          <cell r="D79" t="str">
            <v>un</v>
          </cell>
          <cell r="F79">
            <v>48.6</v>
          </cell>
          <cell r="G79">
            <v>0</v>
          </cell>
        </row>
        <row r="81">
          <cell r="B81" t="str">
            <v>18.09</v>
          </cell>
        </row>
        <row r="82">
          <cell r="B82" t="str">
            <v>18.09.010</v>
          </cell>
          <cell r="C82" t="str">
            <v>Caixa para medição trifásica uso interno, modelo D, inclusive colocação (padrão CELPE).</v>
          </cell>
          <cell r="D82" t="str">
            <v>un</v>
          </cell>
          <cell r="F82">
            <v>82.93</v>
          </cell>
          <cell r="G82">
            <v>0</v>
          </cell>
        </row>
        <row r="83">
          <cell r="B83" t="str">
            <v>18.09.020</v>
          </cell>
          <cell r="C83" t="str">
            <v>Caixa para medição trifásica uso externo, modelo D, inclusive colocação (padrão CELPE).</v>
          </cell>
          <cell r="D83" t="str">
            <v>un</v>
          </cell>
          <cell r="F83">
            <v>104.26</v>
          </cell>
          <cell r="G83">
            <v>0</v>
          </cell>
        </row>
        <row r="85">
          <cell r="B85" t="str">
            <v>18.10</v>
          </cell>
        </row>
        <row r="86">
          <cell r="B86" t="str">
            <v>18.10.020</v>
          </cell>
          <cell r="C86" t="str">
            <v>Chave de faca de 2 polos, 30 A, 250 V, com base de ardósia, com 02 fusíveis tipo cartucho e parafusos, inclusive instalação em quadro de medição.</v>
          </cell>
          <cell r="D86" t="str">
            <v>un</v>
          </cell>
          <cell r="F86">
            <v>11.1</v>
          </cell>
          <cell r="G86">
            <v>0</v>
          </cell>
        </row>
        <row r="87">
          <cell r="B87" t="str">
            <v>18.10.030</v>
          </cell>
          <cell r="C87" t="str">
            <v>Chave de faca de 2 polos, 60 A, 250 V, com base de ardósia, com 02 fusíveis tipo cartucho e parafusos, inclusive instalação em quadro de medição.</v>
          </cell>
          <cell r="D87" t="str">
            <v>un</v>
          </cell>
          <cell r="F87">
            <v>16.3</v>
          </cell>
          <cell r="G87">
            <v>0</v>
          </cell>
        </row>
        <row r="88">
          <cell r="B88" t="str">
            <v>18.10.040</v>
          </cell>
          <cell r="C88" t="str">
            <v>Chave de faca de 3 polos, 60 A, 600 V, com base de ardósia, com 03 fusíveis tipo cartucho e parafusos, inclusive instalação em quadro de medição.</v>
          </cell>
          <cell r="D88" t="str">
            <v>un</v>
          </cell>
          <cell r="F88">
            <v>31.96</v>
          </cell>
          <cell r="G88">
            <v>0</v>
          </cell>
        </row>
        <row r="89">
          <cell r="B89" t="str">
            <v>18.10.050</v>
          </cell>
          <cell r="C89" t="str">
            <v>Chave de faca de 3 polos, 100 A, 600 V, com base de ardósia, com 03 fusíveis tipo cartucho e parafusos, inclusive instalação em quadro de medição.</v>
          </cell>
          <cell r="D89" t="str">
            <v>un</v>
          </cell>
          <cell r="F89">
            <v>57.62</v>
          </cell>
          <cell r="G89">
            <v>0</v>
          </cell>
        </row>
        <row r="90">
          <cell r="B90" t="str">
            <v>18.10.060</v>
          </cell>
          <cell r="C90" t="str">
            <v>Chave seccionadora com fusível, 125A, tipo 3NP4090 SIEMENS ou similar, tripolar com 03 fusíveis NH tamanho 00 e parafusos, inclusive instalação em quadro de medição.</v>
          </cell>
          <cell r="D90" t="str">
            <v>un</v>
          </cell>
          <cell r="F90">
            <v>85.08</v>
          </cell>
          <cell r="G90">
            <v>0</v>
          </cell>
        </row>
        <row r="91">
          <cell r="B91" t="str">
            <v>18.10.070</v>
          </cell>
          <cell r="C91" t="str">
            <v>Chave seccionadora com fusível, 250A, tipo 3NP2200 SIEMENS ou similar, tripolar com 03 fusíveis NH tamanho 01 e parafusos, inclusive instalação em quadro de medição.</v>
          </cell>
          <cell r="D91" t="str">
            <v>un</v>
          </cell>
          <cell r="F91">
            <v>141.25</v>
          </cell>
          <cell r="G91">
            <v>0</v>
          </cell>
        </row>
        <row r="93">
          <cell r="B93" t="str">
            <v>18.11</v>
          </cell>
        </row>
        <row r="94">
          <cell r="B94" t="str">
            <v>18.11.030</v>
          </cell>
          <cell r="C94" t="str">
            <v>Base para fusível tipo NH de 6 A a 125A, tamanho 00, SIEMENS ou similar, com parafusos, inclusive instalação em quadro.</v>
          </cell>
          <cell r="D94" t="str">
            <v>un</v>
          </cell>
          <cell r="F94">
            <v>9.09</v>
          </cell>
          <cell r="G94">
            <v>0</v>
          </cell>
        </row>
        <row r="95">
          <cell r="B95" t="str">
            <v>18.11.040</v>
          </cell>
          <cell r="C95" t="str">
            <v>Base para fusível tipo NH de 36 A a 250A, tamanho 1, SIEMENS ou similar, com parafusos, inclusive instalação em quadro.</v>
          </cell>
          <cell r="D95" t="str">
            <v>un</v>
          </cell>
          <cell r="F95">
            <v>17.96</v>
          </cell>
          <cell r="G95">
            <v>0</v>
          </cell>
        </row>
        <row r="97">
          <cell r="B97" t="str">
            <v>18.12</v>
          </cell>
        </row>
        <row r="98">
          <cell r="B98" t="str">
            <v>18.12.070</v>
          </cell>
          <cell r="C98" t="str">
            <v>Fusível tipo NH de 20A, tamanho 00, SIEMENS ou similar, inclusive instalação em quadro.</v>
          </cell>
          <cell r="D98" t="str">
            <v>un</v>
          </cell>
          <cell r="F98">
            <v>5.67</v>
          </cell>
          <cell r="G98">
            <v>0</v>
          </cell>
        </row>
        <row r="99">
          <cell r="B99" t="str">
            <v>18.12.080</v>
          </cell>
          <cell r="C99" t="str">
            <v>Fusível tipo NH de 25A, tamanho 00, SIEMENS ou similar, inclusive instalação em quadro.</v>
          </cell>
          <cell r="D99" t="str">
            <v>un</v>
          </cell>
          <cell r="F99">
            <v>5.67</v>
          </cell>
          <cell r="G99">
            <v>0</v>
          </cell>
        </row>
        <row r="100">
          <cell r="B100" t="str">
            <v>18.12.090</v>
          </cell>
          <cell r="C100" t="str">
            <v>Fusível tipo NH de 36A, tamanho 00, SIEMENS ou similar, inclusive instalação em quadro.</v>
          </cell>
          <cell r="D100" t="str">
            <v>un</v>
          </cell>
          <cell r="F100">
            <v>5.67</v>
          </cell>
          <cell r="G100">
            <v>0</v>
          </cell>
        </row>
        <row r="101">
          <cell r="B101" t="str">
            <v>18.12.100</v>
          </cell>
          <cell r="C101" t="str">
            <v>Fusível tipo NH de 50A, tamanho 00, SIEMENS ou similar, inclusive instalação em quadro.</v>
          </cell>
          <cell r="D101" t="str">
            <v>un</v>
          </cell>
          <cell r="F101">
            <v>5.67</v>
          </cell>
          <cell r="G101">
            <v>0</v>
          </cell>
        </row>
        <row r="102">
          <cell r="B102" t="str">
            <v>18.12.110</v>
          </cell>
          <cell r="C102" t="str">
            <v>Fusível tipo NH de 63A, tamanho 00, SIEMENS ou similar, inclusive instalação em quadro.</v>
          </cell>
          <cell r="D102" t="str">
            <v>un</v>
          </cell>
          <cell r="F102">
            <v>5.67</v>
          </cell>
          <cell r="G102">
            <v>0</v>
          </cell>
        </row>
        <row r="103">
          <cell r="B103" t="str">
            <v>18.12.120</v>
          </cell>
          <cell r="C103" t="str">
            <v>Fusível tipo NH de 80A, tamanho 00, SIEMENS ou similar, inclusive instalação em quadro.</v>
          </cell>
          <cell r="D103" t="str">
            <v>un</v>
          </cell>
          <cell r="F103">
            <v>5.67</v>
          </cell>
          <cell r="G103">
            <v>0</v>
          </cell>
        </row>
        <row r="104">
          <cell r="B104" t="str">
            <v>18.12.130</v>
          </cell>
          <cell r="C104" t="str">
            <v>Fusível tipo NH de 100A, tamanho 00, SIEMENS ou similar, inclusive instalação em quadro.</v>
          </cell>
          <cell r="D104" t="str">
            <v>un</v>
          </cell>
          <cell r="F104">
            <v>5.67</v>
          </cell>
          <cell r="G104">
            <v>0</v>
          </cell>
        </row>
        <row r="105">
          <cell r="B105" t="str">
            <v>18.12.140</v>
          </cell>
          <cell r="C105" t="str">
            <v>Fusível tipo NH de 125A, tamanho 00, SIEMENS ou similar, inclusive instalação em quadro.</v>
          </cell>
          <cell r="D105" t="str">
            <v>un</v>
          </cell>
          <cell r="F105">
            <v>5.67</v>
          </cell>
          <cell r="G105">
            <v>0</v>
          </cell>
        </row>
        <row r="106">
          <cell r="B106" t="str">
            <v>18.12.150</v>
          </cell>
          <cell r="C106" t="str">
            <v>Fusível tipo NH de 160A, tamanho 01, SIEMENS ou similar, inclusive instalação em quadro.</v>
          </cell>
          <cell r="D106" t="str">
            <v>un</v>
          </cell>
          <cell r="F106">
            <v>12.26</v>
          </cell>
          <cell r="G106">
            <v>0</v>
          </cell>
        </row>
        <row r="107">
          <cell r="B107" t="str">
            <v>18.12.160</v>
          </cell>
          <cell r="C107" t="str">
            <v>Fusível tipo NH de 200A, tamanho 01, SIEMENS ou similar, inclusive instalação em quadro.</v>
          </cell>
          <cell r="D107" t="str">
            <v>un</v>
          </cell>
          <cell r="F107">
            <v>12.26</v>
          </cell>
          <cell r="G107">
            <v>0</v>
          </cell>
        </row>
        <row r="108">
          <cell r="B108" t="str">
            <v>18.12.170</v>
          </cell>
          <cell r="C108" t="str">
            <v>Fusível tipo NH de 250A, tamanho 1, SIEMENS ou similar, inclusive instalação em quadro.</v>
          </cell>
          <cell r="D108" t="str">
            <v>un</v>
          </cell>
          <cell r="F108">
            <v>12.26</v>
          </cell>
          <cell r="G108">
            <v>0</v>
          </cell>
        </row>
        <row r="110">
          <cell r="B110" t="str">
            <v>18.13</v>
          </cell>
        </row>
        <row r="111">
          <cell r="B111" t="str">
            <v>18.13.005</v>
          </cell>
          <cell r="C111" t="str">
            <v>Eletroduto flexível preto de 1", assentado em valas com profundidade de 0,60 m, inclusive escavação e reaterro.</v>
          </cell>
          <cell r="D111" t="str">
            <v>m</v>
          </cell>
          <cell r="F111">
            <v>3.1</v>
          </cell>
          <cell r="G111">
            <v>0</v>
          </cell>
        </row>
        <row r="112">
          <cell r="B112" t="str">
            <v>18.13.010</v>
          </cell>
          <cell r="C112" t="str">
            <v>Eletroduto de PVC rígido rosqueável de 1/2 pol., com luva de rosca interna, inclusive assentamento em lajes.</v>
          </cell>
          <cell r="D112" t="str">
            <v>m</v>
          </cell>
          <cell r="F112">
            <v>1.46</v>
          </cell>
          <cell r="G112">
            <v>0</v>
          </cell>
        </row>
        <row r="113">
          <cell r="B113" t="str">
            <v>18.13.020</v>
          </cell>
          <cell r="C113" t="str">
            <v>Eletroduto de PVC rígido rosqueável de 3/4 pol., com luva de rosca interna, inclusive assentamento em lajes.</v>
          </cell>
          <cell r="D113" t="str">
            <v>m</v>
          </cell>
          <cell r="F113">
            <v>1.51</v>
          </cell>
          <cell r="G113">
            <v>0</v>
          </cell>
        </row>
        <row r="114">
          <cell r="B114" t="str">
            <v>18.13.030</v>
          </cell>
          <cell r="C114" t="str">
            <v>Eletroduto de PVC rígido rosqueável de 1 pol., com luva de rosca interna, inclusive assentamento em lajes.</v>
          </cell>
          <cell r="D114" t="str">
            <v>m</v>
          </cell>
          <cell r="F114">
            <v>2.54</v>
          </cell>
          <cell r="G114">
            <v>0</v>
          </cell>
        </row>
        <row r="115">
          <cell r="B115" t="str">
            <v>18.13.040</v>
          </cell>
          <cell r="C115" t="str">
            <v>Eletroduto de PVC rígido rosqueável de 1/2 pol., com luva de rosca interna, inclusive assentamento com rasgo em alvenaria.</v>
          </cell>
          <cell r="D115" t="str">
            <v>m</v>
          </cell>
          <cell r="F115">
            <v>2.23</v>
          </cell>
          <cell r="G115">
            <v>0</v>
          </cell>
        </row>
        <row r="116">
          <cell r="B116" t="str">
            <v>18.13.050</v>
          </cell>
          <cell r="C116" t="str">
            <v>Eletroduto de PVC rígido rosqueável de 3/4 pol., com luva de rosca interna, inclusive assentamento com rasgo em alvenaria.</v>
          </cell>
          <cell r="D116" t="str">
            <v>m</v>
          </cell>
          <cell r="F116">
            <v>2.71</v>
          </cell>
          <cell r="G116">
            <v>0</v>
          </cell>
        </row>
        <row r="117">
          <cell r="B117" t="str">
            <v>18.13.060</v>
          </cell>
          <cell r="C117" t="str">
            <v>Eletroduto de PVC rígido rosqueável de 1 pol., com luva de rosca interna, inclusive assentamento com rasgo em alvenaria.</v>
          </cell>
          <cell r="D117" t="str">
            <v>m</v>
          </cell>
          <cell r="F117">
            <v>3.3</v>
          </cell>
          <cell r="G117">
            <v>0</v>
          </cell>
        </row>
        <row r="118">
          <cell r="B118" t="str">
            <v>18.12.070</v>
          </cell>
          <cell r="C118" t="str">
            <v>Eletroduto de PVC rígido rosqueável de 1 1/4 pol., com luva de rosca interna, inclusive assentamento com rasgo em alvenaria.</v>
          </cell>
          <cell r="D118" t="str">
            <v>m</v>
          </cell>
          <cell r="F118">
            <v>4.3099999999999996</v>
          </cell>
          <cell r="G118">
            <v>0</v>
          </cell>
        </row>
        <row r="119">
          <cell r="B119" t="str">
            <v>18.13.080</v>
          </cell>
          <cell r="C119" t="str">
            <v>Eletroduto de PVC rígido rosqueável de 1 1/2 pol., com luva de rosca interna, inclusive assentamento com rasgo em alvenaria.</v>
          </cell>
          <cell r="D119" t="str">
            <v>m</v>
          </cell>
          <cell r="F119">
            <v>5.65</v>
          </cell>
          <cell r="G119">
            <v>0</v>
          </cell>
        </row>
        <row r="120">
          <cell r="B120" t="str">
            <v>18.13.085</v>
          </cell>
          <cell r="C120" t="str">
            <v>Fornecimento e colocação de eletroduto de ferro galvanizado de 3 ".</v>
          </cell>
          <cell r="D120" t="str">
            <v>m</v>
          </cell>
          <cell r="F120">
            <v>29.91</v>
          </cell>
        </row>
        <row r="121">
          <cell r="B121" t="str">
            <v>18.13.086</v>
          </cell>
          <cell r="C121" t="str">
            <v>Fornecimento e instalação de quadro de distribuição para telefone.</v>
          </cell>
          <cell r="D121" t="str">
            <v>un</v>
          </cell>
          <cell r="F121">
            <v>96.07</v>
          </cell>
        </row>
        <row r="122">
          <cell r="B122" t="str">
            <v>18.13.090</v>
          </cell>
          <cell r="C122" t="str">
            <v>Eletroduto de PVC rígido rosqueável de 2 pol., com luva de rosca interna, inclusive assentamento com rasgo em alvenaria.</v>
          </cell>
          <cell r="D122" t="str">
            <v>m</v>
          </cell>
          <cell r="F122">
            <v>7.33</v>
          </cell>
          <cell r="G122">
            <v>0</v>
          </cell>
        </row>
        <row r="123">
          <cell r="B123" t="str">
            <v>18.13.100</v>
          </cell>
          <cell r="C123" t="str">
            <v>Eletroduto de PVC rígido rosqueável de 3 pol., com luva de rosca interna, inclusive assentamento com rasgo em alvenaria.</v>
          </cell>
          <cell r="D123" t="str">
            <v>m</v>
          </cell>
          <cell r="F123">
            <v>13.81</v>
          </cell>
          <cell r="G123">
            <v>0</v>
          </cell>
        </row>
        <row r="124">
          <cell r="B124" t="str">
            <v>18.13.110</v>
          </cell>
          <cell r="C124" t="str">
            <v>Eletroduto de PVC rígido rosqueável de 1/2 pol., com luva de rosca interna assentado em valas com profundidade de 0,60 m, inclusive escavação e reaterro.</v>
          </cell>
          <cell r="D124" t="str">
            <v>m</v>
          </cell>
          <cell r="F124">
            <v>3.33</v>
          </cell>
          <cell r="G124">
            <v>0</v>
          </cell>
        </row>
        <row r="125">
          <cell r="B125" t="str">
            <v>18.13.120</v>
          </cell>
          <cell r="C125" t="str">
            <v>Eletroduto de PVC rígido rosqueável de 3/4 pol., com luva de rosca interna assentado em valas com profundidade de 0,60 m, inclusive escavação e reaterro.</v>
          </cell>
          <cell r="D125" t="str">
            <v>m</v>
          </cell>
          <cell r="F125">
            <v>4.01</v>
          </cell>
          <cell r="G125">
            <v>0</v>
          </cell>
        </row>
        <row r="126">
          <cell r="B126" t="str">
            <v>18.13.130</v>
          </cell>
          <cell r="C126" t="str">
            <v>Eletroduto de PVC rígido rosqueável de 1 pol., com luva de rosca interna assentado em valas com profundidade de 0,60 m, inclusive escavação e reaterro.</v>
          </cell>
          <cell r="D126" t="str">
            <v>m</v>
          </cell>
          <cell r="F126">
            <v>5.39</v>
          </cell>
          <cell r="G126">
            <v>0</v>
          </cell>
        </row>
        <row r="127">
          <cell r="B127" t="str">
            <v>18.13.140</v>
          </cell>
          <cell r="C127" t="str">
            <v>Eletroduto de PVC rígido rosqueável de 1 1/2 pol., com luva de rosca interna assentado em valas com profundidade de 0,60 m, inclusive escavação e reaterro.</v>
          </cell>
          <cell r="D127" t="str">
            <v>m</v>
          </cell>
          <cell r="F127">
            <v>6.99</v>
          </cell>
          <cell r="G127">
            <v>0</v>
          </cell>
        </row>
        <row r="128">
          <cell r="B128" t="str">
            <v>18.13.150</v>
          </cell>
          <cell r="C128" t="str">
            <v>Eletroduto de PVC rígido rosqueável de 2 pol., com luva de rosca interna assentado em valas com profundidade de 0,60 m, inclusive escavação e reaterro.</v>
          </cell>
          <cell r="D128" t="str">
            <v>m</v>
          </cell>
          <cell r="F128">
            <v>8.6199999999999992</v>
          </cell>
          <cell r="G128">
            <v>0</v>
          </cell>
        </row>
        <row r="129">
          <cell r="B129" t="str">
            <v>18.13.160</v>
          </cell>
          <cell r="C129" t="str">
            <v>Eletroduto de PVC rígido rosqueável de 3 pol., com luva de rosca interna assentado em valas com profundidade de 0,60 m, inclusive escavação e reaterro.</v>
          </cell>
          <cell r="D129" t="str">
            <v>m</v>
          </cell>
          <cell r="F129">
            <v>15.23</v>
          </cell>
          <cell r="G129">
            <v>0</v>
          </cell>
        </row>
        <row r="130">
          <cell r="B130" t="str">
            <v>18.13.170</v>
          </cell>
          <cell r="C130" t="str">
            <v>Eletroduto de PVC rígido rosqueável de 4 pol., com luva de rosca interna assentado em valas com profundidade de 0,60 m, inclusive escavação e reaterro.</v>
          </cell>
          <cell r="D130" t="str">
            <v>m</v>
          </cell>
          <cell r="F130">
            <v>22.81</v>
          </cell>
          <cell r="G130">
            <v>0</v>
          </cell>
        </row>
        <row r="132">
          <cell r="B132" t="str">
            <v>18.14</v>
          </cell>
        </row>
        <row r="133">
          <cell r="B133" t="str">
            <v>18.14.010</v>
          </cell>
          <cell r="C133" t="str">
            <v xml:space="preserve">Curva de PVC rígido rosqueável de 3/4 pol., com luva de rosca interna, inclusive assentado. </v>
          </cell>
          <cell r="D133" t="str">
            <v>un</v>
          </cell>
          <cell r="F133">
            <v>1.84</v>
          </cell>
          <cell r="G133">
            <v>0</v>
          </cell>
        </row>
        <row r="134">
          <cell r="B134" t="str">
            <v>18.14.020</v>
          </cell>
          <cell r="C134" t="str">
            <v xml:space="preserve">Curva de PVC rígido rosqueável de 1 pol., com luva de rosca interna, inclusive assentado. </v>
          </cell>
          <cell r="D134" t="str">
            <v>un</v>
          </cell>
          <cell r="F134">
            <v>2.6</v>
          </cell>
          <cell r="G134">
            <v>0</v>
          </cell>
        </row>
        <row r="135">
          <cell r="B135" t="str">
            <v>18.14.030</v>
          </cell>
          <cell r="C135" t="str">
            <v xml:space="preserve">Curva de PVC rígido rosqueável de 1 1/4 pol., com luva de rosca interna, inclusive assentado. </v>
          </cell>
          <cell r="D135" t="str">
            <v>un</v>
          </cell>
          <cell r="F135">
            <v>4.0999999999999996</v>
          </cell>
          <cell r="G135">
            <v>0</v>
          </cell>
        </row>
        <row r="136">
          <cell r="B136" t="str">
            <v>18.14.040</v>
          </cell>
          <cell r="C136" t="str">
            <v xml:space="preserve">Curva de PVC rígido rosqueável de 1 1/2 pol., com luva de rosca interna, inclusive assentado. </v>
          </cell>
          <cell r="D136" t="str">
            <v>un</v>
          </cell>
          <cell r="F136">
            <v>5.0999999999999996</v>
          </cell>
          <cell r="G136">
            <v>0</v>
          </cell>
        </row>
        <row r="137">
          <cell r="B137" t="str">
            <v>18.14.050</v>
          </cell>
          <cell r="C137" t="str">
            <v xml:space="preserve">Curva de PVC rígido rosqueável de 2 pol., com luva de rosca interna, inclusive assentado. </v>
          </cell>
          <cell r="D137" t="str">
            <v>un</v>
          </cell>
          <cell r="F137">
            <v>7.96</v>
          </cell>
          <cell r="G137">
            <v>0</v>
          </cell>
        </row>
        <row r="138">
          <cell r="B138" t="str">
            <v>18.14.060</v>
          </cell>
          <cell r="C138" t="str">
            <v xml:space="preserve">Curva de PVC rígido rosqueável de 3 pol., com luva de rosca interna, inclusive assentado. </v>
          </cell>
          <cell r="D138" t="str">
            <v>un</v>
          </cell>
          <cell r="F138">
            <v>23.46</v>
          </cell>
          <cell r="G138">
            <v>0</v>
          </cell>
        </row>
        <row r="139">
          <cell r="B139" t="str">
            <v>18.14.070</v>
          </cell>
          <cell r="C139" t="str">
            <v xml:space="preserve">Curva de PVC rígido rosqueável de 4 pol., com luva de rosca interna, inclusive assentado. </v>
          </cell>
          <cell r="D139" t="str">
            <v>un</v>
          </cell>
          <cell r="F139">
            <v>37.86</v>
          </cell>
          <cell r="G139">
            <v>0</v>
          </cell>
        </row>
        <row r="141">
          <cell r="B141" t="str">
            <v>18.15</v>
          </cell>
        </row>
        <row r="142">
          <cell r="B142" t="str">
            <v>18.15.010</v>
          </cell>
          <cell r="C142" t="str">
            <v>Caixa 4 x 2 pol. Tigreflex ou similar,  inclusive assentamento.</v>
          </cell>
          <cell r="D142" t="str">
            <v>un</v>
          </cell>
          <cell r="F142">
            <v>1.45</v>
          </cell>
          <cell r="G142">
            <v>0</v>
          </cell>
        </row>
        <row r="143">
          <cell r="B143" t="str">
            <v>18.15.020</v>
          </cell>
          <cell r="C143" t="str">
            <v>Caixa 4 x 4 pol. Tigreflex ou similar,  inclusive assentamento.</v>
          </cell>
          <cell r="D143" t="str">
            <v>un</v>
          </cell>
          <cell r="F143">
            <v>1.75</v>
          </cell>
          <cell r="G143">
            <v>0</v>
          </cell>
        </row>
        <row r="144">
          <cell r="B144" t="str">
            <v>18.15.030</v>
          </cell>
          <cell r="C144" t="str">
            <v>Caixa octogonal de 4" Tigreflex ou similar, com fundo móvel, inclusive assentaemnto em laje.</v>
          </cell>
          <cell r="D144" t="str">
            <v>un</v>
          </cell>
          <cell r="F144">
            <v>1.9</v>
          </cell>
          <cell r="G144">
            <v>0</v>
          </cell>
        </row>
        <row r="145">
          <cell r="B145" t="str">
            <v>18.15.035</v>
          </cell>
          <cell r="C145" t="str">
            <v>Fornecimento e colocação de caixa pré-moldada para ar-condicionado de 15.000 BTU's</v>
          </cell>
          <cell r="D145" t="str">
            <v>un</v>
          </cell>
          <cell r="F145">
            <v>73.38</v>
          </cell>
        </row>
        <row r="147">
          <cell r="B147" t="str">
            <v>18.16</v>
          </cell>
        </row>
        <row r="148">
          <cell r="B148" t="str">
            <v>18.16.010</v>
          </cell>
          <cell r="C148" t="str">
            <v>Tomada de embutir (2P+T) com placa para caixa de 4 x 2 pol., 20 A, 250 V, Pial (linha silentoque) ou similar, inclusive instalação.</v>
          </cell>
          <cell r="D148" t="str">
            <v>un</v>
          </cell>
          <cell r="F148">
            <v>7.08</v>
          </cell>
          <cell r="G148">
            <v>0</v>
          </cell>
        </row>
        <row r="149">
          <cell r="B149" t="str">
            <v>18.16.020</v>
          </cell>
          <cell r="C149" t="str">
            <v>Tomada de embutir para telefone quatro polos, Padrão Telebrás, com placa, para caixa de 4 x 2 pol., Pial (linha silentoque) ou similar, inclusive instalação.</v>
          </cell>
          <cell r="D149" t="str">
            <v>un</v>
          </cell>
          <cell r="F149">
            <v>6.55</v>
          </cell>
          <cell r="G149">
            <v>0</v>
          </cell>
        </row>
        <row r="151">
          <cell r="B151" t="str">
            <v>18.17</v>
          </cell>
        </row>
        <row r="152">
          <cell r="B152" t="str">
            <v>18.17.010</v>
          </cell>
          <cell r="C152" t="str">
            <v>Conjunto ARSTOP ou similar de embutir, em caixa 4 x 4 pol., com placa, tomada Tripolar para pino chato e disjuntor termomagnético de 25 A, 250 V, inclusive instalação.</v>
          </cell>
          <cell r="D152" t="str">
            <v>un</v>
          </cell>
          <cell r="F152">
            <v>20.72</v>
          </cell>
          <cell r="G152">
            <v>0</v>
          </cell>
        </row>
        <row r="154">
          <cell r="B154" t="str">
            <v>18.18</v>
          </cell>
        </row>
        <row r="155">
          <cell r="B155" t="str">
            <v>18.18.010</v>
          </cell>
          <cell r="C155" t="str">
            <v>Interruptor de embutir de uma secção para caixa de 4 x 2 pol., com placa, 10 A, 250 V, Pial (linha silentoque) ou similar, inclusive instalação.</v>
          </cell>
          <cell r="D155" t="str">
            <v>un</v>
          </cell>
          <cell r="F155">
            <v>3.9</v>
          </cell>
          <cell r="G155">
            <v>0</v>
          </cell>
        </row>
        <row r="156">
          <cell r="B156" t="str">
            <v>18.18.020</v>
          </cell>
          <cell r="C156" t="str">
            <v>Interruptor de embutir de duas secções para caixa de 4 x 2 pol., com placa, 10 A, 250 V, Pial (linha silentoque) ou similar, inclusive instalação.</v>
          </cell>
          <cell r="D156" t="str">
            <v>un</v>
          </cell>
          <cell r="F156">
            <v>6.76</v>
          </cell>
          <cell r="G156">
            <v>0</v>
          </cell>
        </row>
        <row r="157">
          <cell r="B157" t="str">
            <v>18.18.030</v>
          </cell>
          <cell r="C157" t="str">
            <v>Interruptor de embutir de três secções para caixa de 4 x 2 pol., com placa, 10 A, 250 V, Pial (linha silentoque) ou similar, inclusive instalação.</v>
          </cell>
          <cell r="D157" t="str">
            <v>un</v>
          </cell>
          <cell r="F157">
            <v>8.8800000000000008</v>
          </cell>
          <cell r="G157">
            <v>0</v>
          </cell>
        </row>
        <row r="158">
          <cell r="B158" t="str">
            <v>18.18.040</v>
          </cell>
          <cell r="C158" t="str">
            <v>Interruptor de embutir de uma secção conjugada com tomada, para caixa de 4 x 2 pol., com placa, 10 A, 250 V, Pial (linha silentoque) ou similar, inclusive instalação.</v>
          </cell>
          <cell r="D158" t="str">
            <v>un</v>
          </cell>
          <cell r="F158">
            <v>6.71</v>
          </cell>
          <cell r="G158">
            <v>0</v>
          </cell>
        </row>
        <row r="159">
          <cell r="B159" t="str">
            <v>18.18.050</v>
          </cell>
          <cell r="C159" t="str">
            <v>Interruptor de embutir de duas secções conjugada com tomada, para caixa de 4 x 2 pol., com placa, 10 A, 250 V, Pial (linha silentoque) ou similar, inclusive instalação.</v>
          </cell>
          <cell r="D159" t="str">
            <v>un</v>
          </cell>
          <cell r="F159">
            <v>8.93</v>
          </cell>
          <cell r="G159">
            <v>0</v>
          </cell>
        </row>
        <row r="160">
          <cell r="B160" t="str">
            <v>18.18.060</v>
          </cell>
          <cell r="C160" t="str">
            <v>Interruptor de embutir Three-Way (vai e vem), para caixa de 4 x 2 pol., com placa, 10 A, 250 V, Pial (linha silentoque) ou similar, inclusive instalação.</v>
          </cell>
          <cell r="D160" t="str">
            <v>un</v>
          </cell>
          <cell r="F160">
            <v>5.19</v>
          </cell>
          <cell r="G160">
            <v>0</v>
          </cell>
        </row>
        <row r="162">
          <cell r="B162" t="str">
            <v>18.19</v>
          </cell>
        </row>
        <row r="163">
          <cell r="B163" t="str">
            <v>18.19.010</v>
          </cell>
          <cell r="C163" t="str">
            <v>Fio de cobre, têmpera mole, classe 1, isolamento de PVC - 70 C, tipo BWF, 750 V, Foreplast ou similar, S.M. - 1,5 mm², inclusive instalação em eletroduto.</v>
          </cell>
          <cell r="D163" t="str">
            <v>m</v>
          </cell>
          <cell r="F163">
            <v>0.59</v>
          </cell>
          <cell r="G163">
            <v>0</v>
          </cell>
        </row>
        <row r="164">
          <cell r="B164" t="str">
            <v>18.19.020</v>
          </cell>
          <cell r="C164" t="str">
            <v>Fio de cobre, têmpera mole, classe 1, isolamento de PVC - 70 C, tipo BWF, 750 V, Foreplast ou similar, S.M. - 2,5 mm², inclusive instalação em eletroduto.</v>
          </cell>
          <cell r="D164" t="str">
            <v>m</v>
          </cell>
          <cell r="F164">
            <v>0.85</v>
          </cell>
          <cell r="G164">
            <v>0</v>
          </cell>
        </row>
        <row r="165">
          <cell r="B165" t="str">
            <v>18.19.025</v>
          </cell>
          <cell r="C165" t="str">
            <v>Cabro de cobre, têmpera mole, encordoamento classe 2, isolamento de PVC - 70 C, tipo BWF, 750 V, Foreplast ou similar, S.M. - 2,5 mm², inclusive instalação em eletroduto.</v>
          </cell>
          <cell r="D165" t="str">
            <v>m</v>
          </cell>
          <cell r="F165">
            <v>0.9</v>
          </cell>
          <cell r="G165">
            <v>0</v>
          </cell>
        </row>
        <row r="166">
          <cell r="B166" t="str">
            <v>18.19.030</v>
          </cell>
          <cell r="C166" t="str">
            <v>Cabo de cobre, têmpera mole, encordoamento classe 2, isolamento de PVC - 70 C, tipo BWF, 750 V, Foreplast ou similar, S.M. - 4,0 mm², inclusive instalação em eletroduto.</v>
          </cell>
          <cell r="D166" t="str">
            <v>m</v>
          </cell>
          <cell r="F166">
            <v>0.94</v>
          </cell>
          <cell r="G166">
            <v>0</v>
          </cell>
        </row>
        <row r="167">
          <cell r="B167" t="str">
            <v>18.19.040</v>
          </cell>
          <cell r="C167" t="str">
            <v>Cabo de cobre, têmpera mole, encordoamento classe 2, isolamento de PVC - 70 C, tipo BWF, 750 V, Foreplast ou similar, S.M. - 6,0 mm², inclusive instalação em eletroduto.</v>
          </cell>
          <cell r="D167" t="str">
            <v>m</v>
          </cell>
          <cell r="F167">
            <v>1.1299999999999999</v>
          </cell>
          <cell r="G167">
            <v>0</v>
          </cell>
        </row>
        <row r="168">
          <cell r="B168" t="str">
            <v>18.19.041</v>
          </cell>
          <cell r="C168" t="str">
            <v>Cabo de cobre, têmpera mole, encordoamento classe 2, isolamento de PVC - 70 C, tipo BWF, 750 V, Foreplast ou similar, S.M. - 10,0 mm², inclusive instalação em eletroduto.</v>
          </cell>
          <cell r="D168" t="str">
            <v>m</v>
          </cell>
          <cell r="F168">
            <v>1.6</v>
          </cell>
          <cell r="G168">
            <v>0</v>
          </cell>
        </row>
        <row r="169">
          <cell r="B169" t="str">
            <v>18.19.042</v>
          </cell>
          <cell r="C169" t="str">
            <v>Cabo de cobre, têmpera mole, encordoamento classe 2, isolamento de PVC - 70 C, tipo BWF, 750 V, Foreplast ou similar, S.M. - 16,0 mm², inclusive instalação em eletroduto.</v>
          </cell>
          <cell r="D169" t="str">
            <v>m</v>
          </cell>
          <cell r="F169">
            <v>2.11</v>
          </cell>
          <cell r="G169">
            <v>0</v>
          </cell>
        </row>
        <row r="170">
          <cell r="B170" t="str">
            <v>18.19.043</v>
          </cell>
          <cell r="C170" t="str">
            <v>Cabo de cobre, têmpera mole, encordoamento classe 2, isolamento de PVC - 70 C, tipo BWF, 750 V, Foreplast ou similar, S.M. - 25,0 mm², inclusive instalação em eletroduto.</v>
          </cell>
          <cell r="D170" t="str">
            <v>m</v>
          </cell>
          <cell r="F170">
            <v>2.93</v>
          </cell>
          <cell r="G170">
            <v>0</v>
          </cell>
        </row>
        <row r="171">
          <cell r="B171" t="str">
            <v>18.19.046</v>
          </cell>
          <cell r="C171" t="str">
            <v>Cabo de cobre (1 condutor), têmpera mole, encordoamento classe 2, isolamento de PVC - Flame Resistant - 70 C, 0,6 / 1 Kv, cobertura de PVC-ST 1, Foremax ou similar, S.M. - 1,5 mm², inclusive instalação em eletroduto.</v>
          </cell>
          <cell r="D171" t="str">
            <v>m</v>
          </cell>
          <cell r="F171">
            <v>0.69</v>
          </cell>
          <cell r="G171">
            <v>0</v>
          </cell>
        </row>
        <row r="172">
          <cell r="B172" t="str">
            <v>18.19.047</v>
          </cell>
          <cell r="C172" t="str">
            <v>Cabo de cobre (1 condutor), têmpera mole, encordoamento classe 2, isolamento de PVC - Flame Resistant - 70 C, 0,6 / 1 Kv, cobertura de PVC-ST 1, Foremax ou similar, S.M. - 2,5 mm², inclusive instalação em eletroduto.</v>
          </cell>
          <cell r="D172" t="str">
            <v>m</v>
          </cell>
          <cell r="F172">
            <v>0.83</v>
          </cell>
          <cell r="G172">
            <v>0</v>
          </cell>
        </row>
        <row r="173">
          <cell r="B173" t="str">
            <v>18.19.048</v>
          </cell>
          <cell r="C173" t="str">
            <v>Cabo de cobre (1 condutor), têmpera mole, encordoamento classe 2, isolamento de PVC - Flame Resistant - 70 C, 0,6 / 1 Kv, cobertura de PVC-ST 1, Foremax ou similar, S.M. - 4,0 mm², inclusive instalação em eletroduto.</v>
          </cell>
          <cell r="D173" t="str">
            <v>m</v>
          </cell>
          <cell r="F173">
            <v>1.29</v>
          </cell>
          <cell r="G173">
            <v>0</v>
          </cell>
        </row>
        <row r="174">
          <cell r="B174" t="str">
            <v>18.19.049</v>
          </cell>
          <cell r="C174" t="str">
            <v>Cabo de cobre (1 condutor), têmpera mole, encordoamento classe 2, isolamento de PVC - Flame Resistant - 70 C, 0,6 / 1 Kv, cobertura de PVC-ST 1, Foremax ou similar, S.M. - 6,0 mm², inclusive instalação em eletroduto.</v>
          </cell>
          <cell r="D174" t="str">
            <v>m</v>
          </cell>
          <cell r="F174">
            <v>1.56</v>
          </cell>
          <cell r="G174">
            <v>0</v>
          </cell>
        </row>
        <row r="175">
          <cell r="B175" t="str">
            <v>18.19.050</v>
          </cell>
          <cell r="C175" t="str">
            <v>Cabo de cobre (1 condutor), têmpera mole, encordoamento classe 2, isolamento de PVC - Flame Resistant - 70 C, 0,6 / 1 Kv, cobertura de PVC-ST 1, Foremax ou similar, S.M. - 10,0 mm², inclusive instalação em eletroduto.</v>
          </cell>
          <cell r="D175" t="str">
            <v>m</v>
          </cell>
          <cell r="F175">
            <v>2.06</v>
          </cell>
          <cell r="G175">
            <v>0</v>
          </cell>
        </row>
        <row r="176">
          <cell r="B176" t="str">
            <v>18.19.060</v>
          </cell>
          <cell r="C176" t="str">
            <v>Cabo de cobre (1 condutor), têmpera mole, encordoamento classe 2, isolamento de PVC - Flame Resistant - 70 C, 0,6 / 1 Kv, cobertura de PVC-ST 1, Foremax ou similar, S.M. - 16,0 mm², inclusive instalação em eletroduto.</v>
          </cell>
          <cell r="D176" t="str">
            <v>m</v>
          </cell>
          <cell r="F176">
            <v>2.9</v>
          </cell>
          <cell r="G176">
            <v>0</v>
          </cell>
        </row>
        <row r="177">
          <cell r="B177" t="str">
            <v>18.19.065</v>
          </cell>
          <cell r="C177" t="str">
            <v>Dec., de piso cimentado.</v>
          </cell>
          <cell r="F177">
            <v>9.1</v>
          </cell>
          <cell r="G177">
            <v>0</v>
          </cell>
        </row>
        <row r="178">
          <cell r="B178" t="str">
            <v>18.19.070</v>
          </cell>
          <cell r="C178" t="str">
            <v>Cabo de cobre (1 condutor), têmpera mole, encordoamento classe 2, isolamento de PVC - Flame Resistant - 70 C, 0,6 / 1 Kv, cobertura de PVC-ST 1, Foremax ou similar, S.M. - 25,0 mm², inclusive instalação em eletroduto.</v>
          </cell>
          <cell r="D178" t="str">
            <v>m</v>
          </cell>
          <cell r="F178">
            <v>3.85</v>
          </cell>
          <cell r="G178">
            <v>0</v>
          </cell>
        </row>
        <row r="179">
          <cell r="B179" t="str">
            <v>18.19.080</v>
          </cell>
          <cell r="C179" t="str">
            <v>Cabo de cobre (1 condutor), têmpera mole, encordoamento classe 2, isolamento de PVC - Flame Resistant - 70 C, 0,6 / 1 Kv, cobertura de PVC-ST 1, Foremax ou similar, S.M. - 35,0 mm², inclusive instalação em eletroduto.</v>
          </cell>
          <cell r="D179" t="str">
            <v>m</v>
          </cell>
          <cell r="F179">
            <v>4.91</v>
          </cell>
          <cell r="G179">
            <v>0</v>
          </cell>
        </row>
        <row r="180">
          <cell r="B180" t="str">
            <v>18.19.085</v>
          </cell>
          <cell r="C180" t="str">
            <v>Cabo de Cobre  com isolamento termoplástico para ligação dos postes, com 4,0 mm² - 28 A, inclusive instalação em eletroduto.</v>
          </cell>
          <cell r="D180" t="str">
            <v>m</v>
          </cell>
          <cell r="F180">
            <v>0.8</v>
          </cell>
          <cell r="G180">
            <v>0</v>
          </cell>
        </row>
        <row r="182">
          <cell r="B182" t="str">
            <v>18.20</v>
          </cell>
        </row>
        <row r="183">
          <cell r="B183" t="str">
            <v>18.20.010</v>
          </cell>
          <cell r="C183" t="str">
            <v>Disjuntor monopolar termomagnético até 30 A, 220 V, Eletromar ou similar, inclusive instalação em quadro de distribuição.</v>
          </cell>
          <cell r="D183" t="str">
            <v>un</v>
          </cell>
          <cell r="F183">
            <v>6.01</v>
          </cell>
          <cell r="G183">
            <v>0</v>
          </cell>
        </row>
        <row r="184">
          <cell r="B184" t="str">
            <v>18.20.020</v>
          </cell>
          <cell r="C184" t="str">
            <v>Disjuntor monopolar termomagnético até 35 a 50A, 220 V, Eletromar ou similar, inclusive instalação em quadro de distribuição.</v>
          </cell>
          <cell r="D184" t="str">
            <v>un</v>
          </cell>
          <cell r="F184">
            <v>8.06</v>
          </cell>
          <cell r="G184">
            <v>0</v>
          </cell>
        </row>
        <row r="185">
          <cell r="B185" t="str">
            <v>18.20.030</v>
          </cell>
          <cell r="C185" t="str">
            <v>Disjuntor tripolar termomagnético até 50 A 380, 220 V, Eletromar ou similar, inclusive instalação em quadro de distribuição.</v>
          </cell>
          <cell r="D185" t="str">
            <v>un</v>
          </cell>
          <cell r="F185">
            <v>30.85</v>
          </cell>
          <cell r="G185">
            <v>0</v>
          </cell>
        </row>
        <row r="186">
          <cell r="B186" t="str">
            <v>18.20.040</v>
          </cell>
          <cell r="C186" t="str">
            <v>Disjuntor tripolar termomagnético até 60 a 100 A, 380 V, Eletromar ou similar, inclusive instalação em quadro de distribuição.</v>
          </cell>
          <cell r="D186" t="str">
            <v>un</v>
          </cell>
          <cell r="F186">
            <v>45.39</v>
          </cell>
          <cell r="G186">
            <v>0</v>
          </cell>
        </row>
        <row r="187">
          <cell r="B187" t="str">
            <v>18.20.050</v>
          </cell>
          <cell r="C187" t="str">
            <v>Disjuntor tripolar termomagnético até 120 a 150 A, 380 V, Eletromar ou similar, inclusive instalação em quadro de distribuição.</v>
          </cell>
          <cell r="D187" t="str">
            <v>un</v>
          </cell>
          <cell r="F187">
            <v>115.39</v>
          </cell>
          <cell r="G187">
            <v>0</v>
          </cell>
        </row>
        <row r="188">
          <cell r="B188" t="str">
            <v>18.20.055</v>
          </cell>
          <cell r="C188" t="str">
            <v>Fornecimento e colocação de disjuntor 15 A.</v>
          </cell>
          <cell r="D188" t="str">
            <v>un</v>
          </cell>
          <cell r="F188">
            <v>7.67</v>
          </cell>
        </row>
        <row r="189">
          <cell r="B189" t="str">
            <v>18.20.056</v>
          </cell>
          <cell r="C189" t="str">
            <v>Fornecimento e colocação de disjuntor 50 A.</v>
          </cell>
          <cell r="D189" t="str">
            <v>un</v>
          </cell>
          <cell r="F189">
            <v>10.27</v>
          </cell>
        </row>
        <row r="190">
          <cell r="B190" t="str">
            <v>18.20.057</v>
          </cell>
          <cell r="C190" t="str">
            <v>Fornecimento e colocação de disjuntor tripolar 150 A (quadro de medição).</v>
          </cell>
          <cell r="D190" t="str">
            <v>un</v>
          </cell>
          <cell r="F190">
            <v>149.04</v>
          </cell>
        </row>
        <row r="192">
          <cell r="B192" t="str">
            <v>18.21</v>
          </cell>
        </row>
        <row r="193">
          <cell r="B193" t="str">
            <v>18.21.010</v>
          </cell>
          <cell r="C193" t="str">
            <v xml:space="preserve">Quadro de distribuição metálico de embutir, com barramento de neutro tipo com 600, eletromar ou similar, para até 6 circuitos momopolares, com sobretampa articulada provida de visor transparente, inclusive instalação. </v>
          </cell>
          <cell r="D193" t="str">
            <v>un</v>
          </cell>
          <cell r="F193">
            <v>49.2</v>
          </cell>
          <cell r="G193">
            <v>0</v>
          </cell>
        </row>
        <row r="194">
          <cell r="B194" t="str">
            <v>18.21.020</v>
          </cell>
          <cell r="C194" t="str">
            <v xml:space="preserve">Quadro de distribuição metálico de embutir, com barramento de neutro tipo com 600, eletromar ou similar, para até 8 circuitos momopolares, com sobretampa articulada provida de visor transparente, inclusive instalação. </v>
          </cell>
          <cell r="D194" t="str">
            <v>un</v>
          </cell>
          <cell r="F194">
            <v>52.3</v>
          </cell>
          <cell r="G194">
            <v>0</v>
          </cell>
        </row>
        <row r="196">
          <cell r="B196" t="str">
            <v>18.21.150</v>
          </cell>
          <cell r="C196" t="str">
            <v xml:space="preserve">Quadro de distribuição metálico de embutir, com barramento, chave geral e placa neutro ref. QDETN-12, Cemar ou similar, para até 12 circuitos momopolares, com porta, inclusive instalação. </v>
          </cell>
          <cell r="D196" t="str">
            <v>un</v>
          </cell>
          <cell r="F196">
            <v>50.64</v>
          </cell>
          <cell r="G196">
            <v>0</v>
          </cell>
        </row>
        <row r="197">
          <cell r="B197" t="str">
            <v>18.21.030</v>
          </cell>
          <cell r="C197" t="str">
            <v xml:space="preserve">Quadro de distribuição metálico de embutir, com barramento, chave geral e placa neutro tipo PQR 15 C, eletromar ou similar, para até 15 circuitos momopolares, com porta e trinco, inclusive instalação. </v>
          </cell>
          <cell r="D197" t="str">
            <v>un</v>
          </cell>
          <cell r="F197">
            <v>163.95</v>
          </cell>
          <cell r="G197">
            <v>0</v>
          </cell>
        </row>
        <row r="198">
          <cell r="B198" t="str">
            <v>18.21.035</v>
          </cell>
          <cell r="C198" t="str">
            <v xml:space="preserve">Quadro de distribuição metálico de embutir, com barramento, chave geral e placa neutro tipo PQR 18 CA, eletromar ou similar, para até 18 circuitos momopolares, com porta e trinco, inclusive instalação. </v>
          </cell>
          <cell r="D198" t="str">
            <v>un</v>
          </cell>
          <cell r="F198">
            <v>213.95</v>
          </cell>
          <cell r="G198">
            <v>0</v>
          </cell>
        </row>
        <row r="199">
          <cell r="B199" t="str">
            <v>18.21.170</v>
          </cell>
          <cell r="C199" t="str">
            <v xml:space="preserve">Quadro de distribuição metálico de embutir, com barramento, chave geral e placa neutro ref. QDETN-32 Cemar ou similar, para 32 , circuitos momopolares, com porta e trinco, inclusive instalação. </v>
          </cell>
          <cell r="D199" t="str">
            <v>un</v>
          </cell>
          <cell r="F199">
            <v>104.28</v>
          </cell>
          <cell r="G199">
            <v>0</v>
          </cell>
        </row>
        <row r="200">
          <cell r="B200" t="str">
            <v>18.21.045</v>
          </cell>
          <cell r="C200" t="str">
            <v>Luminária tipo globo leitoso completa.</v>
          </cell>
          <cell r="D200" t="str">
            <v>un</v>
          </cell>
          <cell r="F200">
            <v>24.83</v>
          </cell>
        </row>
        <row r="201">
          <cell r="B201" t="str">
            <v>18.21.050</v>
          </cell>
          <cell r="C201" t="str">
            <v xml:space="preserve">Quadro de distribuição metálico de embutir, com barramento, chave geral e placa neutro tipo PQR 30 CA, eletromar ou similar, para 30 , circuitos momopolares, com porta e trinco, inclusive instalação. </v>
          </cell>
          <cell r="D201" t="str">
            <v>un</v>
          </cell>
          <cell r="F201">
            <v>258.60000000000002</v>
          </cell>
          <cell r="G201">
            <v>0</v>
          </cell>
        </row>
        <row r="202">
          <cell r="B202" t="str">
            <v>18.21.060</v>
          </cell>
          <cell r="C202" t="str">
            <v xml:space="preserve">Quadro de distribuição metálico de embutir, sem barramento, tipo QCSP, Gomes ou similar, para até 3 circuitos momopolares, sem porta, inclusive instalação. </v>
          </cell>
          <cell r="D202" t="str">
            <v>un</v>
          </cell>
          <cell r="F202">
            <v>16.18</v>
          </cell>
          <cell r="G202">
            <v>0</v>
          </cell>
        </row>
        <row r="203">
          <cell r="B203" t="str">
            <v>18.21.070</v>
          </cell>
          <cell r="C203" t="str">
            <v xml:space="preserve">Quadro de distribuição metálico de embutir, sem barramento, tipo QCCP, Gomes ou similar, para até 3 circuitos momopolares, com porta, inclusive instalação. </v>
          </cell>
          <cell r="D203" t="str">
            <v>un</v>
          </cell>
          <cell r="F203">
            <v>16.78</v>
          </cell>
          <cell r="G203">
            <v>0</v>
          </cell>
        </row>
        <row r="204">
          <cell r="B204" t="str">
            <v>18.21.080</v>
          </cell>
          <cell r="C204" t="str">
            <v xml:space="preserve">Quadro de distribuição metálico de embutir, sem barramento, tipo QCCP, Gomes ou similar, para até 6 circuitos momopolares, com porta, inclusive instalação. </v>
          </cell>
          <cell r="D204" t="str">
            <v>un</v>
          </cell>
          <cell r="F204">
            <v>19.13</v>
          </cell>
          <cell r="G204">
            <v>0</v>
          </cell>
        </row>
        <row r="205">
          <cell r="B205" t="str">
            <v>18.21.090</v>
          </cell>
          <cell r="C205" t="str">
            <v xml:space="preserve">Quadro de distribuição metálico de embutir, sem barramento, tipo QCCP, Gomes ou similar, para até 12 circuitos momopolares, com porta, inclusive instalação. </v>
          </cell>
          <cell r="D205" t="str">
            <v>un</v>
          </cell>
          <cell r="F205">
            <v>24.78</v>
          </cell>
          <cell r="G205">
            <v>0</v>
          </cell>
        </row>
        <row r="206">
          <cell r="B206" t="str">
            <v>18.21.100</v>
          </cell>
          <cell r="C206" t="str">
            <v xml:space="preserve">Quadro de distribuição metálico de embutir, sem barramento, tipo QCCP, Gomes ou similar, para até 18 circuitos momopolares, com porta, inclusive instalação. </v>
          </cell>
          <cell r="D206" t="str">
            <v>un</v>
          </cell>
          <cell r="F206">
            <v>44.17</v>
          </cell>
          <cell r="G206">
            <v>0</v>
          </cell>
        </row>
        <row r="208">
          <cell r="B208" t="str">
            <v>18.22</v>
          </cell>
        </row>
        <row r="209">
          <cell r="B209" t="str">
            <v>18.22.005</v>
          </cell>
          <cell r="C209" t="str">
            <v>Fornecimento e instalação de módulo de  distribuição com barramento para 300 A.</v>
          </cell>
          <cell r="D209" t="str">
            <v>un</v>
          </cell>
          <cell r="F209">
            <v>1747.73</v>
          </cell>
        </row>
        <row r="210">
          <cell r="B210" t="str">
            <v>18.22.010</v>
          </cell>
          <cell r="C210" t="str">
            <v>Ponto de luz em teto ou parede, incluindo caixa 4 x 4 pol. Tigreflex ou similar, tubulação PVC rígido e fiação, até o quadro de distribuição.</v>
          </cell>
          <cell r="D210" t="str">
            <v>pt</v>
          </cell>
          <cell r="F210">
            <v>18.059999999999999</v>
          </cell>
          <cell r="G210">
            <v>0</v>
          </cell>
        </row>
        <row r="211">
          <cell r="B211" t="str">
            <v>18.22.015</v>
          </cell>
          <cell r="C211" t="str">
            <v>Recuperação do quadro de medição existente (substação área)</v>
          </cell>
          <cell r="D211" t="str">
            <v>un</v>
          </cell>
          <cell r="F211">
            <v>251.95</v>
          </cell>
        </row>
        <row r="212">
          <cell r="B212" t="str">
            <v>18.22.016</v>
          </cell>
          <cell r="C212" t="str">
            <v>Fornecimento e colocação de cabo 50 mm² (substação ao módulo de distribuição)</v>
          </cell>
          <cell r="D212" t="str">
            <v>m</v>
          </cell>
          <cell r="F212">
            <v>9.75</v>
          </cell>
        </row>
        <row r="213">
          <cell r="B213" t="str">
            <v>18.22.020</v>
          </cell>
          <cell r="C213" t="str">
            <v>Ponto de interruptor de uma secção, Pial ou similar, inclusive tubulação PVC rígido, fiação, caixa 4 x 2 pol., Tigreflex ou similar placa e demais acessórios, até o ponto de luz.</v>
          </cell>
          <cell r="D213" t="str">
            <v>pt</v>
          </cell>
          <cell r="F213">
            <v>16.62</v>
          </cell>
          <cell r="G213">
            <v>0</v>
          </cell>
        </row>
        <row r="214">
          <cell r="B214" t="str">
            <v>18.22.030</v>
          </cell>
          <cell r="C214" t="str">
            <v>Ponto de interruptor de 2 secções, Pial ou similar, inclusive tubulação PVC rígido, fiação, caixa 4 x 2 pol., Tigreflex ou similar, placa e demais acessórios, até o ponto de luz.</v>
          </cell>
          <cell r="D214" t="str">
            <v>pt</v>
          </cell>
          <cell r="F214">
            <v>24.04</v>
          </cell>
          <cell r="G214">
            <v>0</v>
          </cell>
        </row>
        <row r="215">
          <cell r="B215" t="str">
            <v>18.22.040</v>
          </cell>
          <cell r="C215" t="str">
            <v>Ponto de interruptor de 3 secções, Pial ou similar, inclusive tubulação PVC rígido, fiação, caixa 4 x 2 pol., Tigreflex ou similar, placa e demais acessórios, até o ponto de luz.</v>
          </cell>
          <cell r="D215" t="str">
            <v>pt</v>
          </cell>
          <cell r="F215">
            <v>29.36</v>
          </cell>
          <cell r="G215">
            <v>0</v>
          </cell>
        </row>
        <row r="216">
          <cell r="B216" t="str">
            <v>18.22.050</v>
          </cell>
          <cell r="C216" t="str">
            <v>Ponto de interruptor Three-Way, Pial ou similar, inclusive tubulação PVC rígido, fiação, caixa 4 x 2 pol., Tigreflex ou similar, placa e demais acessórios, até o ponto de luz.</v>
          </cell>
          <cell r="D216" t="str">
            <v>pt</v>
          </cell>
          <cell r="F216">
            <v>47.79</v>
          </cell>
          <cell r="G216">
            <v>0</v>
          </cell>
        </row>
        <row r="217">
          <cell r="B217" t="str">
            <v>18.22.060</v>
          </cell>
          <cell r="C217" t="str">
            <v>Ponto de tomada universal (2P+1 T), Pial ou similar, inclusive tubulação PVC rígido, fiação, caixa 4 x 2 pol., Tigreflex ou similar, placa e demais acessórios, até o ponto de luz ou quadro de distribuição.</v>
          </cell>
          <cell r="D217" t="str">
            <v>pt</v>
          </cell>
          <cell r="F217">
            <v>29.94</v>
          </cell>
          <cell r="G217">
            <v>0</v>
          </cell>
        </row>
        <row r="218">
          <cell r="B218" t="str">
            <v>18.22.070</v>
          </cell>
          <cell r="C218" t="str">
            <v>Ponto de tomada universal (2P+1 T), Pial ou similar para 2000 W, inclusive tubulação PVC rígido, fiação, caixa 4 x 2 pol., Tigreflex ou similar, placa e demais acessórios, até o ponto de luz ou quadro de distribuição.</v>
          </cell>
          <cell r="D218" t="str">
            <v>pt</v>
          </cell>
          <cell r="F218">
            <v>44.67</v>
          </cell>
          <cell r="G218">
            <v>0</v>
          </cell>
        </row>
        <row r="219">
          <cell r="B219" t="str">
            <v>18.22.080</v>
          </cell>
          <cell r="C219" t="str">
            <v>Ponto de tomada para ar-condicionado com conjunto tipo Arstop ou similar, em caixa Tigreflex ou similar 4 x 4 pol., com placa, tomada tripolar para pino chato e disjuntor termomagnético de 25 A, inclusive tubulação de PVC rígido, fiação, aterramento e dem</v>
          </cell>
          <cell r="D219" t="str">
            <v>pt</v>
          </cell>
          <cell r="F219">
            <v>56.86</v>
          </cell>
          <cell r="G219">
            <v>0</v>
          </cell>
        </row>
        <row r="220">
          <cell r="B220" t="str">
            <v>18.22.085</v>
          </cell>
          <cell r="C220" t="str">
            <v xml:space="preserve">Ponto de tomada para ar-condicionado </v>
          </cell>
          <cell r="D220" t="str">
            <v>pt</v>
          </cell>
          <cell r="F220">
            <v>67.260000000000005</v>
          </cell>
        </row>
        <row r="221">
          <cell r="B221" t="str">
            <v>18.22.090</v>
          </cell>
          <cell r="C221" t="str">
            <v>Ponto de tomada para telefone, Pial ou similar, em caixa Tigreflex ou similar 4 x 2 pol., inclusive placa, tubulação de PVC rígido, fiação, caixas de passagem e demais acessórios, até a caixa de distribuição do pavimento.</v>
          </cell>
          <cell r="D221" t="str">
            <v>pt</v>
          </cell>
          <cell r="F221">
            <v>30.89</v>
          </cell>
          <cell r="G221">
            <v>0</v>
          </cell>
        </row>
        <row r="222">
          <cell r="B222" t="str">
            <v>18.22.091</v>
          </cell>
          <cell r="C222" t="str">
            <v>Instalação elétrica</v>
          </cell>
          <cell r="D222" t="str">
            <v>vb</v>
          </cell>
          <cell r="F222">
            <v>232.9</v>
          </cell>
          <cell r="G222">
            <v>0</v>
          </cell>
        </row>
        <row r="223">
          <cell r="B223" t="str">
            <v>18.22.095</v>
          </cell>
          <cell r="C223" t="str">
            <v>Ponto de tomada 220 V convencional.</v>
          </cell>
          <cell r="D223" t="str">
            <v>pt</v>
          </cell>
          <cell r="F223">
            <v>38.92</v>
          </cell>
        </row>
        <row r="224">
          <cell r="B224" t="str">
            <v>18.22.096</v>
          </cell>
          <cell r="C224" t="str">
            <v>Ramal de alimentação para ponto de telefone.</v>
          </cell>
          <cell r="D224" t="str">
            <v>vb</v>
          </cell>
          <cell r="F224">
            <v>413.4</v>
          </cell>
        </row>
        <row r="225">
          <cell r="B225" t="str">
            <v>18.22.100</v>
          </cell>
          <cell r="C225" t="str">
            <v>Ponto de campainha, inclusive caixa, cigarra, botão, espelho, tubulação PVC rígido, fiação e demais acessórios, até quadro de sinalização instalado no posto de enfermagem.</v>
          </cell>
          <cell r="D225" t="str">
            <v>pt</v>
          </cell>
          <cell r="F225">
            <v>44.69</v>
          </cell>
          <cell r="G225">
            <v>0</v>
          </cell>
        </row>
        <row r="226">
          <cell r="B226" t="str">
            <v>18.22.110</v>
          </cell>
          <cell r="C226" t="str">
            <v>Ponto para computador</v>
          </cell>
          <cell r="D226" t="str">
            <v>pt</v>
          </cell>
          <cell r="F226">
            <v>51.5</v>
          </cell>
        </row>
        <row r="228">
          <cell r="B228" t="str">
            <v>18.24</v>
          </cell>
        </row>
        <row r="229">
          <cell r="B229" t="str">
            <v>18.24.005</v>
          </cell>
          <cell r="C229" t="str">
            <v>Luminária tipo sobrepor aberta para 02 lâmpads fluorescente 40 W (calha trapezoidal) completa.</v>
          </cell>
          <cell r="D229" t="str">
            <v>un</v>
          </cell>
          <cell r="F229">
            <v>45.84</v>
          </cell>
        </row>
        <row r="230">
          <cell r="B230" t="str">
            <v>18.24.010</v>
          </cell>
          <cell r="C230" t="str">
            <v>Caixa de passagem subterrânea com dimensões internas 0,40 x 0,40 m, altura 0,60 m, sobre camada de brita com 0,10 m de espessura, pararedes em alvenaria e laje de tampa em concreto armado, inclusive escavaçào, remoção e reaterro.</v>
          </cell>
          <cell r="D230" t="str">
            <v>un</v>
          </cell>
          <cell r="F230">
            <v>19.91</v>
          </cell>
          <cell r="G230">
            <v>0</v>
          </cell>
        </row>
        <row r="231">
          <cell r="B231" t="str">
            <v>18.24.020</v>
          </cell>
          <cell r="C231" t="str">
            <v>Caixa de passagem subterrânea para entrada de rede telefônica, tipo R1 (até 35 pontos), com dimensões internas 0,60 x 0,35 m, altura 0,50 m, paredes em alvenaria, e laje de tampa em concreto armado, inclusive escavação, remoção e reaterro.</v>
          </cell>
          <cell r="D231" t="str">
            <v>un</v>
          </cell>
          <cell r="F231">
            <v>21.87</v>
          </cell>
          <cell r="G231">
            <v>0</v>
          </cell>
        </row>
        <row r="232">
          <cell r="B232" t="str">
            <v>18.24.030</v>
          </cell>
          <cell r="C232" t="str">
            <v>Caixa para ar condicionado</v>
          </cell>
          <cell r="D232" t="str">
            <v>un</v>
          </cell>
          <cell r="F232">
            <v>23.82</v>
          </cell>
        </row>
        <row r="234">
          <cell r="B234" t="str">
            <v>18.25</v>
          </cell>
        </row>
        <row r="235">
          <cell r="B235" t="str">
            <v>18.25.005</v>
          </cell>
          <cell r="C235" t="str">
            <v>Inatalação elétrica.</v>
          </cell>
          <cell r="D235" t="str">
            <v>vb</v>
          </cell>
          <cell r="F235">
            <v>91.2</v>
          </cell>
          <cell r="G235">
            <v>0</v>
          </cell>
        </row>
        <row r="236">
          <cell r="B236" t="str">
            <v>18.25.010</v>
          </cell>
          <cell r="C236" t="str">
            <v>Fornecimento e assentamento de luminária.</v>
          </cell>
          <cell r="D236" t="str">
            <v>un</v>
          </cell>
          <cell r="F236">
            <v>570</v>
          </cell>
          <cell r="G236">
            <v>0</v>
          </cell>
        </row>
        <row r="237">
          <cell r="B237" t="str">
            <v>18.25.020</v>
          </cell>
          <cell r="C237" t="str">
            <v>Luminária tipo sobrepor, aberta, para 2 lâmpadas fluorescente de 20 W, ref. TMS-500 Philips ou similar, inclusive reator alto fator de potência lâmpadas, demais acessórios e instalação.</v>
          </cell>
          <cell r="D237" t="str">
            <v>cj</v>
          </cell>
          <cell r="F237">
            <v>41.36</v>
          </cell>
          <cell r="G237">
            <v>0</v>
          </cell>
        </row>
        <row r="238">
          <cell r="B238" t="str">
            <v>18.25.030</v>
          </cell>
          <cell r="C238" t="str">
            <v>Luminária tipo sobrepor, aberta, para 1 lâmpada fluorescente de 40 W, ref. TMS-500 Philips ou similar, inclusive reator alto fator de potência lâmpadas, demais acessórios e instalação.</v>
          </cell>
          <cell r="D238" t="str">
            <v>cj</v>
          </cell>
          <cell r="F238">
            <v>35.770000000000003</v>
          </cell>
          <cell r="G238">
            <v>0</v>
          </cell>
        </row>
        <row r="239">
          <cell r="B239" t="str">
            <v>18.25.031</v>
          </cell>
          <cell r="C239" t="str">
            <v>Fechadura</v>
          </cell>
          <cell r="D239" t="str">
            <v>un</v>
          </cell>
          <cell r="F239">
            <v>39.9</v>
          </cell>
          <cell r="G239">
            <v>0</v>
          </cell>
        </row>
        <row r="240">
          <cell r="B240" t="str">
            <v>18.25.040</v>
          </cell>
          <cell r="C240" t="str">
            <v>Luminária tipo sobrepor, aberta, para 2 lâmpadas fluorescente de 32 W, ref. TMS-500 Philips ou similar, inclusive reator alto fator de potência lâmpadas, demais acessórios e instalação.</v>
          </cell>
          <cell r="D240" t="str">
            <v>cj</v>
          </cell>
          <cell r="F240">
            <v>51.13</v>
          </cell>
          <cell r="G240">
            <v>0</v>
          </cell>
        </row>
        <row r="241">
          <cell r="B241" t="str">
            <v>18.25.041</v>
          </cell>
          <cell r="C241" t="str">
            <v>Fornecimento e colocação de lâmpada fluorescente de 40 W.</v>
          </cell>
          <cell r="D241" t="str">
            <v>un</v>
          </cell>
          <cell r="F241">
            <v>5.8</v>
          </cell>
          <cell r="G241">
            <v>0</v>
          </cell>
        </row>
        <row r="242">
          <cell r="B242" t="str">
            <v>18.25.042</v>
          </cell>
          <cell r="C242" t="str">
            <v>Fornecimento e colocação de reator de 40 W.</v>
          </cell>
          <cell r="D242" t="str">
            <v>un</v>
          </cell>
          <cell r="F242">
            <v>8.5</v>
          </cell>
          <cell r="G242">
            <v>0</v>
          </cell>
        </row>
        <row r="243">
          <cell r="B243" t="str">
            <v>18.25.043</v>
          </cell>
          <cell r="C243" t="str">
            <v>Fornecimento e colocação de térmico com base.</v>
          </cell>
          <cell r="D243" t="str">
            <v>un</v>
          </cell>
          <cell r="F243">
            <v>1</v>
          </cell>
          <cell r="G243">
            <v>0</v>
          </cell>
        </row>
        <row r="244">
          <cell r="B244" t="str">
            <v>18.25.050</v>
          </cell>
          <cell r="C244" t="str">
            <v>Luminária tipo sobrepor, aberta, para 1 lâmpada fluorescente de 20 W, ref. 211-R A. B. Leão ou similar, inclusive reator alto fator de potência lâmpada, demais acessórios e instalação.</v>
          </cell>
          <cell r="D244" t="str">
            <v>cj</v>
          </cell>
          <cell r="F244">
            <v>22.57</v>
          </cell>
          <cell r="G244">
            <v>0</v>
          </cell>
        </row>
        <row r="245">
          <cell r="B245" t="str">
            <v>18.25.060</v>
          </cell>
          <cell r="C245" t="str">
            <v>Luminária tipo sobrepor, aberta, para 2 lâmpadas fluorescente de 20 W, ref. 211-R A. B. Leão ou similar, inclusive reator alto fator de potência lâmpada, demais acessórios e instalação.</v>
          </cell>
          <cell r="D245" t="str">
            <v>cj</v>
          </cell>
          <cell r="F245">
            <v>33.26</v>
          </cell>
          <cell r="G245">
            <v>0</v>
          </cell>
        </row>
        <row r="246">
          <cell r="B246" t="str">
            <v>18.25.070</v>
          </cell>
          <cell r="C246" t="str">
            <v>Luminária tipo sobrepor, aberta, para 1 lâmpada fluorescente de 40 W, ref. 211-R A. B. Leão ou similar, inclusive reator alto fator de potência lâmpada, demais acessórios e instalação.</v>
          </cell>
          <cell r="D246" t="str">
            <v>cj</v>
          </cell>
          <cell r="F246">
            <v>23.67</v>
          </cell>
          <cell r="G246">
            <v>0</v>
          </cell>
        </row>
        <row r="247">
          <cell r="B247" t="str">
            <v>18.25.071</v>
          </cell>
          <cell r="C247" t="str">
            <v>Fornecimento e colocação de lâmpada vapor de mercúrio 250 W.</v>
          </cell>
          <cell r="D247" t="str">
            <v>un</v>
          </cell>
          <cell r="F247">
            <v>16.54</v>
          </cell>
        </row>
        <row r="248">
          <cell r="B248" t="str">
            <v>18.25.080</v>
          </cell>
          <cell r="C248" t="str">
            <v>Luminária tipo sobrepor, aberta, para 2 lâmpadas fluorescente de 40 W, ref. 211-R A. B. Leão ou similar, inclusive reator alto fator de potência lâmpada, demais acessórios e instalação.</v>
          </cell>
          <cell r="D248" t="str">
            <v>cj</v>
          </cell>
          <cell r="F248">
            <v>35.26</v>
          </cell>
          <cell r="G248">
            <v>0</v>
          </cell>
        </row>
        <row r="249">
          <cell r="B249" t="str">
            <v>18.25.082</v>
          </cell>
          <cell r="C249" t="str">
            <v>Conjunto de reator 220 v / 60 HI - 2.000 W</v>
          </cell>
          <cell r="D249" t="str">
            <v>un</v>
          </cell>
        </row>
        <row r="250">
          <cell r="B250" t="str">
            <v>18.25.090</v>
          </cell>
          <cell r="C250" t="str">
            <v>Luminária tipo Drops em globo de vidro leitoso, ref. 515 A.B Leão, ou similar, completa, inclusive lâmpada e instalação.</v>
          </cell>
          <cell r="D250" t="str">
            <v>cj</v>
          </cell>
          <cell r="F250">
            <v>21.26</v>
          </cell>
          <cell r="G250">
            <v>0</v>
          </cell>
        </row>
        <row r="251">
          <cell r="B251" t="str">
            <v>18.25.095</v>
          </cell>
          <cell r="C251" t="str">
            <v>Lâmpada incandescende de 100 W</v>
          </cell>
          <cell r="D251" t="str">
            <v>un</v>
          </cell>
          <cell r="F251">
            <v>1.37</v>
          </cell>
          <cell r="G251">
            <v>0</v>
          </cell>
        </row>
        <row r="252">
          <cell r="B252" t="str">
            <v>18.25.100</v>
          </cell>
          <cell r="C252" t="str">
            <v>Luminária tipo Bedd (Prato), ref. 805 A.B. Leão ou similar, com pendente e suporte, inclusive lâmpada e instalação.</v>
          </cell>
          <cell r="D252" t="str">
            <v>cj</v>
          </cell>
          <cell r="F252">
            <v>30.6</v>
          </cell>
          <cell r="G252">
            <v>0</v>
          </cell>
        </row>
        <row r="253">
          <cell r="B253" t="str">
            <v>18.25.110</v>
          </cell>
          <cell r="C253" t="str">
            <v>Luminária tipo arandela, ref. 403 A.B.Leão ou similar, completa, inclusive lâmpada e instalação.</v>
          </cell>
          <cell r="D253" t="str">
            <v>cj</v>
          </cell>
          <cell r="F253">
            <v>23.41</v>
          </cell>
          <cell r="G253">
            <v>0</v>
          </cell>
        </row>
        <row r="254">
          <cell r="B254" t="str">
            <v>18.25.111</v>
          </cell>
          <cell r="C254" t="str">
            <v>Lâmpada fluorescente universal de 20 W, Phillips ou Osram, inclusive instalação.</v>
          </cell>
          <cell r="D254" t="str">
            <v>un</v>
          </cell>
          <cell r="F254">
            <v>5.5</v>
          </cell>
          <cell r="G254">
            <v>0</v>
          </cell>
        </row>
        <row r="255">
          <cell r="B255" t="str">
            <v>18.25.115</v>
          </cell>
          <cell r="C255" t="str">
            <v>Lâmpada de 40 W.</v>
          </cell>
          <cell r="D255" t="str">
            <v>un</v>
          </cell>
          <cell r="F255">
            <v>5.51</v>
          </cell>
          <cell r="G255">
            <v>0</v>
          </cell>
        </row>
        <row r="256">
          <cell r="B256" t="str">
            <v>18.25.116</v>
          </cell>
          <cell r="C256" t="str">
            <v>Reator</v>
          </cell>
          <cell r="D256" t="str">
            <v>un</v>
          </cell>
          <cell r="F256">
            <v>8.07</v>
          </cell>
          <cell r="G256">
            <v>0</v>
          </cell>
        </row>
        <row r="257">
          <cell r="B257" t="str">
            <v>18.25.117</v>
          </cell>
          <cell r="C257" t="str">
            <v>Reator com lâmpada a vapor de mercúrio.</v>
          </cell>
          <cell r="D257" t="str">
            <v>un</v>
          </cell>
          <cell r="F257">
            <v>54.54</v>
          </cell>
          <cell r="G257">
            <v>0</v>
          </cell>
        </row>
        <row r="258">
          <cell r="B258" t="str">
            <v>18.25.118</v>
          </cell>
          <cell r="C258" t="str">
            <v>Reator para lâmpada fluorescente de 40 W, Phillips ou Osram, inclusive instalação.</v>
          </cell>
          <cell r="D258" t="str">
            <v>un</v>
          </cell>
          <cell r="G258">
            <v>0</v>
          </cell>
        </row>
        <row r="259">
          <cell r="B259" t="str">
            <v>18.25.117</v>
          </cell>
          <cell r="C259" t="str">
            <v>Reator exter.408/E AB Leào ou similar, completo com lâmpada a vapor de mercúrio de 250 m, reator de potência instalações e acessórios correspondentes</v>
          </cell>
          <cell r="D259" t="str">
            <v>un</v>
          </cell>
          <cell r="F259">
            <v>62.18</v>
          </cell>
        </row>
        <row r="260">
          <cell r="B260" t="str">
            <v>18.25.119</v>
          </cell>
          <cell r="C260" t="str">
            <v>Luminária tipo tartaruga.</v>
          </cell>
          <cell r="D260" t="str">
            <v>cj</v>
          </cell>
        </row>
        <row r="261">
          <cell r="B261" t="str">
            <v>18.25.120</v>
          </cell>
          <cell r="C261" t="str">
            <v>Luminária de jardim.</v>
          </cell>
          <cell r="D261" t="str">
            <v>cj</v>
          </cell>
          <cell r="F261">
            <v>75</v>
          </cell>
        </row>
        <row r="262">
          <cell r="B262" t="str">
            <v>18.25.130</v>
          </cell>
          <cell r="C262" t="str">
            <v>Luminária tipo Stop, ref. 401 - P A.B. Leão ou similar, completa, inclusive lâmpada e instalção.</v>
          </cell>
          <cell r="D262" t="str">
            <v>cj</v>
          </cell>
          <cell r="F262">
            <v>11.54</v>
          </cell>
          <cell r="G262">
            <v>0</v>
          </cell>
        </row>
        <row r="263">
          <cell r="B263" t="str">
            <v>18.25.140</v>
          </cell>
          <cell r="C263" t="str">
            <v xml:space="preserve">Refletor externo ref. 408 / E A.B. Leão ou similar, completo,  inclusive lâmpada e instalação. </v>
          </cell>
          <cell r="D263" t="str">
            <v>cj</v>
          </cell>
          <cell r="F263">
            <v>30.6</v>
          </cell>
          <cell r="G263">
            <v>0</v>
          </cell>
        </row>
        <row r="264">
          <cell r="B264" t="str">
            <v>18.25.145</v>
          </cell>
          <cell r="C264" t="str">
            <v>Fornecimento e colocação de refletor externo DN 30, inclusive ponto de luz.</v>
          </cell>
          <cell r="D264" t="str">
            <v>cj</v>
          </cell>
          <cell r="F264">
            <v>96.24</v>
          </cell>
        </row>
        <row r="265">
          <cell r="B265" t="str">
            <v>18.25.170</v>
          </cell>
          <cell r="C265" t="str">
            <v>Luminária para lâmpada a vapor de mercúrio de 125 W, ref. ABL 50 / F A.B. Leão ou similar, completa, inclusive branco, lâmpada, reator alto de potência e instalação.</v>
          </cell>
          <cell r="D265" t="str">
            <v>cj</v>
          </cell>
          <cell r="F265">
            <v>109.45</v>
          </cell>
          <cell r="G265">
            <v>0</v>
          </cell>
        </row>
        <row r="266">
          <cell r="B266" t="str">
            <v>18.25.180</v>
          </cell>
          <cell r="C266" t="str">
            <v>Luminária para lâmpada a vapor de mercúrio de 250 W, ref. ABL 50 / F A.B. Leão ou similar, completa, inclusive braço, lâmpada, reator alto fator de potência e instalação.</v>
          </cell>
          <cell r="D266" t="str">
            <v>cj</v>
          </cell>
          <cell r="F266">
            <v>202.97</v>
          </cell>
          <cell r="G266">
            <v>0</v>
          </cell>
        </row>
        <row r="267">
          <cell r="B267" t="str">
            <v>18.25.183</v>
          </cell>
          <cell r="C267" t="str">
            <v>Galpão industrial simples</v>
          </cell>
          <cell r="D267" t="str">
            <v>vb</v>
          </cell>
          <cell r="F267">
            <v>1219.8</v>
          </cell>
          <cell r="G267">
            <v>0</v>
          </cell>
        </row>
        <row r="268">
          <cell r="B268" t="str">
            <v>18.25.184</v>
          </cell>
          <cell r="C268" t="str">
            <v>Escultura</v>
          </cell>
          <cell r="D268" t="str">
            <v>vb</v>
          </cell>
          <cell r="F268">
            <v>2089.9899999999998</v>
          </cell>
          <cell r="G268">
            <v>0</v>
          </cell>
        </row>
        <row r="269">
          <cell r="B269" t="str">
            <v>18.25.185</v>
          </cell>
          <cell r="C269" t="str">
            <v>Idenização de barraca de tábua.</v>
          </cell>
          <cell r="D269" t="str">
            <v>vb</v>
          </cell>
          <cell r="F269">
            <v>894.9</v>
          </cell>
          <cell r="G269">
            <v>0</v>
          </cell>
        </row>
        <row r="270">
          <cell r="B270" t="str">
            <v>18.25.186</v>
          </cell>
          <cell r="C270" t="str">
            <v xml:space="preserve">Idenização de barraca </v>
          </cell>
          <cell r="D270" t="str">
            <v>vb</v>
          </cell>
          <cell r="F270">
            <v>1281.3599999999999</v>
          </cell>
          <cell r="G270">
            <v>0</v>
          </cell>
        </row>
        <row r="271">
          <cell r="B271" t="str">
            <v>18.25.187</v>
          </cell>
          <cell r="C271" t="str">
            <v>Desapropriação de terreno e edificações.</v>
          </cell>
          <cell r="D271" t="str">
            <v>vb</v>
          </cell>
          <cell r="F271">
            <v>3251755</v>
          </cell>
          <cell r="G271">
            <v>0</v>
          </cell>
        </row>
        <row r="272">
          <cell r="B272" t="str">
            <v>18.25.188</v>
          </cell>
          <cell r="C272" t="str">
            <v>Grelha de ferro</v>
          </cell>
          <cell r="D272" t="str">
            <v>vb</v>
          </cell>
          <cell r="F272">
            <v>1432.27</v>
          </cell>
          <cell r="G272">
            <v>0</v>
          </cell>
        </row>
        <row r="273">
          <cell r="B273" t="str">
            <v>18.25.190</v>
          </cell>
          <cell r="C273" t="str">
            <v>Luminária para lâmpada a vapor de mercúrio de 125 W, ref. ABL 50 / A.B. Leão ou similar, completa, inclusive braço, lâmpada, reator alto fator de potência e instalação.</v>
          </cell>
          <cell r="D273" t="str">
            <v>cj</v>
          </cell>
          <cell r="F273">
            <v>99.95</v>
          </cell>
          <cell r="G273">
            <v>0</v>
          </cell>
        </row>
        <row r="274">
          <cell r="B274" t="str">
            <v>18.25.200</v>
          </cell>
          <cell r="C274" t="str">
            <v>Luminária para lâmpada a vapor de mercúrio de 250 W, ref. ABL 50 / A.B. Leão ou similar, completa, inclusive braço, lâmpada, reator alto fator de potência e instalação.</v>
          </cell>
          <cell r="D274" t="str">
            <v>cj</v>
          </cell>
          <cell r="F274">
            <v>113.35</v>
          </cell>
          <cell r="G274">
            <v>0</v>
          </cell>
        </row>
        <row r="275">
          <cell r="B275" t="str">
            <v>18.25.210</v>
          </cell>
          <cell r="C275" t="str">
            <v>Luminária para lâmpada a vapor de mercúrio de 400 W, ref. ABL 50 / 400 A.B. Leão ou similar, completa, inclusive braço, lâmpada, reator alto fator de potência e instalação.</v>
          </cell>
          <cell r="D275" t="str">
            <v>un</v>
          </cell>
          <cell r="F275">
            <v>176.95</v>
          </cell>
          <cell r="G275">
            <v>0</v>
          </cell>
        </row>
        <row r="276">
          <cell r="B276" t="str">
            <v>18.25.211</v>
          </cell>
          <cell r="C276" t="str">
            <v>Projetor com uma lâmpada de vapor metálico de 2.000 W</v>
          </cell>
          <cell r="D276" t="str">
            <v>un</v>
          </cell>
        </row>
        <row r="278">
          <cell r="B278" t="str">
            <v>18.26</v>
          </cell>
        </row>
        <row r="279">
          <cell r="B279" t="str">
            <v>18.26.010</v>
          </cell>
          <cell r="C279" t="str">
            <v>Assentamento de haste de aterramento de 5/8" x 2,40 m Copperweld ou similar, com conector paralelo e parafusos (inclusive o fornecimento do material).</v>
          </cell>
          <cell r="D279" t="str">
            <v>un</v>
          </cell>
          <cell r="F279">
            <v>19.190000000000001</v>
          </cell>
          <cell r="G279">
            <v>0</v>
          </cell>
        </row>
        <row r="280">
          <cell r="B280" t="str">
            <v>18.26.020</v>
          </cell>
          <cell r="C280" t="str">
            <v xml:space="preserve">Assentamento de bengala de PVC rígido de 3/4 pol., marca Tigre ou similar, inclusive rasgo em alvenaria e fornecimento do material. </v>
          </cell>
          <cell r="D280" t="str">
            <v>un</v>
          </cell>
          <cell r="F280">
            <v>10.37</v>
          </cell>
          <cell r="G280">
            <v>0</v>
          </cell>
        </row>
        <row r="281">
          <cell r="B281" t="str">
            <v>18.26.025</v>
          </cell>
          <cell r="C281" t="str">
            <v>Assentamento de bengala 1".</v>
          </cell>
          <cell r="D281" t="str">
            <v>un</v>
          </cell>
          <cell r="F281">
            <v>8.4600000000000009</v>
          </cell>
          <cell r="G281">
            <v>0</v>
          </cell>
        </row>
        <row r="282">
          <cell r="B282" t="str">
            <v>18.26.030</v>
          </cell>
          <cell r="C282" t="str">
            <v>Assentamento de chave de boia automática, 15 A, superior ou inferior marca lenz ou similar (inclusive o fornecimento do material).</v>
          </cell>
          <cell r="D282" t="str">
            <v>un</v>
          </cell>
          <cell r="F282">
            <v>16.21</v>
          </cell>
          <cell r="G282">
            <v>0</v>
          </cell>
        </row>
        <row r="283">
          <cell r="B283" t="str">
            <v>18.26.040</v>
          </cell>
          <cell r="C283" t="str">
            <v>Assentamento de chave reversora blindada 30 A, 500 V, Eletromar ou similar (inclusive o fornecimento do material).</v>
          </cell>
          <cell r="D283" t="str">
            <v>un</v>
          </cell>
          <cell r="F283">
            <v>53.26</v>
          </cell>
          <cell r="G283">
            <v>0</v>
          </cell>
        </row>
        <row r="284">
          <cell r="B284" t="str">
            <v>18.26.045</v>
          </cell>
          <cell r="C284" t="str">
            <v>Assentamento de chave reversora blindada 30 A, 250 V, Eletromar ou similar (inclusive o fornecimento do material).</v>
          </cell>
          <cell r="D284" t="str">
            <v>un</v>
          </cell>
          <cell r="F284">
            <v>49.58</v>
          </cell>
          <cell r="G284">
            <v>0</v>
          </cell>
        </row>
        <row r="285">
          <cell r="B285" t="str">
            <v>18.26.050</v>
          </cell>
          <cell r="C285" t="str">
            <v>Assentamento de chave magnético guarda-motor até 7,5 cv, Eletromar ou similar (inclusive fornecimento do material)</v>
          </cell>
          <cell r="D285" t="str">
            <v>un</v>
          </cell>
          <cell r="F285">
            <v>140.63</v>
          </cell>
          <cell r="G285">
            <v>0</v>
          </cell>
        </row>
        <row r="286">
          <cell r="B286" t="str">
            <v>18.26.060</v>
          </cell>
          <cell r="C286" t="str">
            <v>Assentamento de chave magnética de 2 x 30 A para comando de iluminação pública, acionada para rele foto-elétrico NA, 220 V, 60 HZ, tipo lux control modelo CIP - F / 70, (inclusive fornecimento do material).</v>
          </cell>
          <cell r="D286" t="str">
            <v>un</v>
          </cell>
          <cell r="F286">
            <v>198.6</v>
          </cell>
          <cell r="G286">
            <v>0</v>
          </cell>
        </row>
        <row r="287">
          <cell r="B287" t="str">
            <v>18.26.065</v>
          </cell>
          <cell r="C287" t="str">
            <v>Fornecimento e colocação de braçadeiras para fixação dos eletrodutos.</v>
          </cell>
          <cell r="D287" t="str">
            <v>un</v>
          </cell>
          <cell r="F287">
            <v>1.43</v>
          </cell>
        </row>
        <row r="288">
          <cell r="B288" t="str">
            <v>18.26.070</v>
          </cell>
          <cell r="C288" t="str">
            <v>Lixeira.</v>
          </cell>
          <cell r="D288" t="str">
            <v>un</v>
          </cell>
          <cell r="F288">
            <v>12.88</v>
          </cell>
        </row>
        <row r="289">
          <cell r="B289" t="str">
            <v>18.26.071</v>
          </cell>
          <cell r="C289" t="str">
            <v>Confecção de lixeira em fibra Gless</v>
          </cell>
          <cell r="D289" t="str">
            <v>un</v>
          </cell>
          <cell r="F289">
            <v>76.87</v>
          </cell>
        </row>
        <row r="290">
          <cell r="B290" t="str">
            <v>18.26.072</v>
          </cell>
          <cell r="C290" t="str">
            <v>Colocação de calha em PVC para proteção de instalação elétrica aparente.</v>
          </cell>
          <cell r="D290" t="str">
            <v>m</v>
          </cell>
          <cell r="F290">
            <v>1.29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1">
          <cell r="B1"/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(ADM. LOCAL - NAO DESONERADO)"/>
      <sheetName val="ADM. LOCAL - DESONERADO"/>
      <sheetName val="GERAL - ORIGINAL"/>
      <sheetName val="__MEMORIA DE CALCULO__"/>
      <sheetName val="(GERAL - SINAPI COM DESON)"/>
      <sheetName val="ORÇAMENTO COM DESON"/>
      <sheetName val="COMPOSICOES - SINAPI COM DESON"/>
      <sheetName val="COMP_BDI_EDIF_SECID COM DESON"/>
      <sheetName val="BDI EDIFIC SECID COM DESON"/>
      <sheetName val="COMP_ENCARGOS_SOCIAIS_COM_DESON"/>
      <sheetName val="_RESUMO COMPARATIVO_"/>
      <sheetName val="COTACOES"/>
      <sheetName val="(GERAL - SINAPI SEM DESON)"/>
      <sheetName val="ORÇAMENTO SEM DESON"/>
      <sheetName val="COMPOSICOES - SINAPI SEM DESON"/>
      <sheetName val="RESUMO_SEM_DESON"/>
      <sheetName val="CRONOGRAMA_SEM_DESON"/>
      <sheetName val="COMP_BDI_EDIF_SECID SEM DESON"/>
      <sheetName val="BDI EDIFIC SECID SEM DESON"/>
      <sheetName val="COMP_ENCARGOS_SOCIAIS_SEM_DESON"/>
      <sheetName val="_QCI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6" Type="http://schemas.openxmlformats.org/officeDocument/2006/relationships/image" Target="../media/image3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6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5" tint="0.39997558519241921"/>
  </sheetPr>
  <dimension ref="A1:G42"/>
  <sheetViews>
    <sheetView view="pageBreakPreview" topLeftCell="A9" zoomScaleNormal="100" zoomScaleSheetLayoutView="100" workbookViewId="0">
      <pane ySplit="744" topLeftCell="A25" activePane="bottomLeft"/>
      <selection activeCell="A7" sqref="A1:XFD1048576"/>
      <selection pane="bottomLeft" sqref="A1:D1"/>
    </sheetView>
  </sheetViews>
  <sheetFormatPr defaultColWidth="9.109375" defaultRowHeight="10.199999999999999" x14ac:dyDescent="0.2"/>
  <cols>
    <col min="1" max="1" width="7.88671875" style="86" customWidth="1"/>
    <col min="2" max="2" width="80.88671875" style="88" customWidth="1"/>
    <col min="3" max="3" width="15.6640625" style="86" customWidth="1"/>
    <col min="4" max="4" width="14.6640625" style="89" customWidth="1"/>
    <col min="5" max="16384" width="9.109375" style="50"/>
  </cols>
  <sheetData>
    <row r="1" spans="1:7" s="45" customFormat="1" ht="41.4" customHeight="1" x14ac:dyDescent="0.3">
      <c r="A1" s="306" t="str">
        <f>'CRONOGRAMA SEM DESON'!A1</f>
        <v>RECONSTRUÇÃO DO MURO E SERVIÇOS COMPLEMENTARES DA ESCOLA OTAVIANO BASÍLIO HERÁCLIO DO RÊGO</v>
      </c>
      <c r="B1" s="306"/>
      <c r="C1" s="306"/>
      <c r="D1" s="306"/>
    </row>
    <row r="2" spans="1:7" s="45" customFormat="1" ht="17.399999999999999" x14ac:dyDescent="0.3">
      <c r="A2" s="260" t="s">
        <v>34</v>
      </c>
      <c r="B2" s="261"/>
      <c r="C2" s="261"/>
      <c r="D2" s="262"/>
    </row>
    <row r="3" spans="1:7" s="45" customFormat="1" ht="17.399999999999999" x14ac:dyDescent="0.3">
      <c r="A3" s="255"/>
      <c r="B3" s="255"/>
      <c r="C3" s="108"/>
      <c r="D3" s="89"/>
    </row>
    <row r="4" spans="1:7" s="109" customFormat="1" ht="27.75" customHeight="1" x14ac:dyDescent="0.25">
      <c r="A4" s="257" t="str">
        <f>'ORÇAMENTO SEM DESON'!A4</f>
        <v>LOCALIZAÇÃO: LIMOEIRO - PE</v>
      </c>
      <c r="B4" s="258"/>
      <c r="C4" s="258"/>
      <c r="D4" s="259"/>
    </row>
    <row r="5" spans="1:7" s="109" customFormat="1" ht="13.2" x14ac:dyDescent="0.25">
      <c r="A5" s="110" t="str">
        <f>'ORÇAMENTO SEM DESON'!A5</f>
        <v>FONTES DE PREÇOS: SINAPI JUNHO-2023 -  SEINFRA 027 MARÇO/2021 - SEM DESONERAÇÃO (BDI = 24,20%)</v>
      </c>
      <c r="B5" s="110"/>
      <c r="C5" s="116"/>
      <c r="D5" s="111"/>
    </row>
    <row r="6" spans="1:7" s="109" customFormat="1" ht="15" customHeight="1" x14ac:dyDescent="0.25">
      <c r="A6" s="137" t="str">
        <f>'ORÇAMENTO SEM DESON'!A6</f>
        <v>DATA: JULHO/2023</v>
      </c>
      <c r="B6" s="138"/>
      <c r="C6" s="116"/>
      <c r="D6" s="111"/>
    </row>
    <row r="7" spans="1:7" s="45" customFormat="1" x14ac:dyDescent="0.2">
      <c r="A7" s="1"/>
      <c r="B7" s="66"/>
      <c r="C7" s="47"/>
      <c r="D7" s="89"/>
    </row>
    <row r="8" spans="1:7" s="46" customFormat="1" ht="34.200000000000003" customHeight="1" x14ac:dyDescent="0.2">
      <c r="A8" s="126" t="s">
        <v>0</v>
      </c>
      <c r="B8" s="126" t="s">
        <v>31</v>
      </c>
      <c r="C8" s="127" t="s">
        <v>81</v>
      </c>
      <c r="D8" s="128" t="s">
        <v>104</v>
      </c>
    </row>
    <row r="9" spans="1:7" s="45" customFormat="1" ht="15.6" x14ac:dyDescent="0.2">
      <c r="A9" s="92"/>
      <c r="B9" s="101"/>
      <c r="C9" s="112"/>
      <c r="D9" s="113"/>
    </row>
    <row r="10" spans="1:7" s="56" customFormat="1" ht="15.6" x14ac:dyDescent="0.25">
      <c r="A10" s="133" t="str">
        <f>'ORÇAMENTO SEM DESON'!A9</f>
        <v>1.0</v>
      </c>
      <c r="B10" s="129" t="str">
        <f>'ORÇAMENTO SEM DESON'!D9</f>
        <v>SERVIÇOS PRELIMINARES</v>
      </c>
      <c r="C10" s="130">
        <f>'ORÇAMENTO SEM DESON'!I9</f>
        <v>30490.2</v>
      </c>
      <c r="D10" s="131">
        <f>C10/$C$33</f>
        <v>5.7126533242018905E-2</v>
      </c>
    </row>
    <row r="11" spans="1:7" s="45" customFormat="1" ht="15.6" x14ac:dyDescent="0.2">
      <c r="A11" s="92"/>
      <c r="B11" s="101"/>
      <c r="C11" s="112"/>
      <c r="D11" s="113"/>
      <c r="G11" s="117" t="e">
        <f>C10+#REF!+#REF!+#REF!+#REF!+#REF!</f>
        <v>#REF!</v>
      </c>
    </row>
    <row r="12" spans="1:7" s="56" customFormat="1" ht="15.6" x14ac:dyDescent="0.25">
      <c r="A12" s="133" t="str">
        <f>'ORÇAMENTO SEM DESON'!A12</f>
        <v>2.0</v>
      </c>
      <c r="B12" s="129" t="str">
        <f>'ORÇAMENTO SEM DESON'!D12</f>
        <v>MOVIMENTAÇÃO DE TERRA</v>
      </c>
      <c r="C12" s="130">
        <f>'ORÇAMENTO SEM DESON'!I12</f>
        <v>4866.6000000000004</v>
      </c>
      <c r="D12" s="131">
        <f>C12/$C$33</f>
        <v>9.1180768468428954E-3</v>
      </c>
    </row>
    <row r="13" spans="1:7" s="45" customFormat="1" ht="15.6" x14ac:dyDescent="0.2">
      <c r="A13" s="92"/>
      <c r="B13" s="101"/>
      <c r="C13" s="112"/>
      <c r="D13" s="113"/>
      <c r="G13" s="117" t="e">
        <f>C12+#REF!+#REF!+#REF!+#REF!+C33</f>
        <v>#REF!</v>
      </c>
    </row>
    <row r="14" spans="1:7" s="56" customFormat="1" ht="15.6" x14ac:dyDescent="0.25">
      <c r="A14" s="133" t="str">
        <f>'ORÇAMENTO SEM DESON'!A17</f>
        <v>3.0</v>
      </c>
      <c r="B14" s="129" t="str">
        <f>'ORÇAMENTO SEM DESON'!D17</f>
        <v>INFRAESTRUTURA</v>
      </c>
      <c r="C14" s="130">
        <f>'ORÇAMENTO SEM DESON'!I17</f>
        <v>72286</v>
      </c>
      <c r="D14" s="131">
        <f>C14/$C$33</f>
        <v>0.13543527369228731</v>
      </c>
    </row>
    <row r="15" spans="1:7" s="45" customFormat="1" ht="15.6" x14ac:dyDescent="0.2">
      <c r="A15" s="92"/>
      <c r="B15" s="101"/>
      <c r="C15" s="112"/>
      <c r="D15" s="113"/>
      <c r="G15" s="117" t="e">
        <f>C14+#REF!+#REF!+#REF!+#REF!+#REF!</f>
        <v>#REF!</v>
      </c>
    </row>
    <row r="16" spans="1:7" s="56" customFormat="1" ht="15.6" x14ac:dyDescent="0.25">
      <c r="A16" s="133" t="str">
        <f>'ORÇAMENTO SEM DESON'!A24</f>
        <v>4.0</v>
      </c>
      <c r="B16" s="129" t="str">
        <f>'ORÇAMENTO SEM DESON'!D24</f>
        <v>SUPERESTRUTURA</v>
      </c>
      <c r="C16" s="130">
        <f>'ORÇAMENTO SEM DESON'!I24</f>
        <v>125494.09</v>
      </c>
      <c r="D16" s="131">
        <f>C16/$C$33</f>
        <v>0.23512611606555262</v>
      </c>
    </row>
    <row r="17" spans="1:7" s="45" customFormat="1" ht="15.6" x14ac:dyDescent="0.2">
      <c r="A17" s="92"/>
      <c r="B17" s="101"/>
      <c r="C17" s="112"/>
      <c r="D17" s="113"/>
      <c r="G17" s="117" t="e">
        <f>C16+#REF!+#REF!+#REF!+#REF!+#REF!</f>
        <v>#REF!</v>
      </c>
    </row>
    <row r="18" spans="1:7" s="56" customFormat="1" ht="15.6" x14ac:dyDescent="0.25">
      <c r="A18" s="133" t="str">
        <f>'ORÇAMENTO SEM DESON'!A33</f>
        <v>5.0</v>
      </c>
      <c r="B18" s="129" t="str">
        <f>'ORÇAMENTO SEM DESON'!D33</f>
        <v>ALVENARIA DE VEDAÇÃO</v>
      </c>
      <c r="C18" s="130">
        <f>'ORÇAMENTO SEM DESON'!I33</f>
        <v>26858.7</v>
      </c>
      <c r="D18" s="131">
        <f>C18/$C$33</f>
        <v>5.0322543584083189E-2</v>
      </c>
    </row>
    <row r="19" spans="1:7" s="45" customFormat="1" ht="15.6" x14ac:dyDescent="0.2">
      <c r="A19" s="92"/>
      <c r="B19" s="101"/>
      <c r="C19" s="112"/>
      <c r="D19" s="113"/>
      <c r="G19" s="117" t="e">
        <f>C18+#REF!+#REF!+#REF!+#REF!+C39</f>
        <v>#REF!</v>
      </c>
    </row>
    <row r="20" spans="1:7" s="56" customFormat="1" ht="15.6" x14ac:dyDescent="0.25">
      <c r="A20" s="133" t="str">
        <f>'ORÇAMENTO SEM DESON'!A35</f>
        <v>6.0</v>
      </c>
      <c r="B20" s="129" t="str">
        <f>'ORÇAMENTO SEM DESON'!D35</f>
        <v>IMPERMEABILIZAÇÃO</v>
      </c>
      <c r="C20" s="130">
        <f>'ORÇAMENTO SEM DESON'!I35</f>
        <v>12088.7</v>
      </c>
      <c r="D20" s="131">
        <f>C20/$C$33</f>
        <v>2.2649425795921115E-2</v>
      </c>
    </row>
    <row r="21" spans="1:7" s="45" customFormat="1" ht="15.6" x14ac:dyDescent="0.2">
      <c r="A21" s="92"/>
      <c r="B21" s="101"/>
      <c r="C21" s="112"/>
      <c r="D21" s="113"/>
      <c r="G21" s="117" t="e">
        <f>C20+#REF!+#REF!+#REF!+#REF!+#REF!</f>
        <v>#REF!</v>
      </c>
    </row>
    <row r="22" spans="1:7" s="56" customFormat="1" ht="15.6" x14ac:dyDescent="0.25">
      <c r="A22" s="133" t="str">
        <f>'ORÇAMENTO SEM DESON'!A37</f>
        <v>7.0</v>
      </c>
      <c r="B22" s="129" t="str">
        <f>'ORÇAMENTO SEM DESON'!D37</f>
        <v>REVESTIMENTOS</v>
      </c>
      <c r="C22" s="130">
        <f>'ORÇAMENTO SEM DESON'!I37</f>
        <v>71674.710000000006</v>
      </c>
      <c r="D22" s="131">
        <f>C22/$C$33</f>
        <v>0.13428995885324022</v>
      </c>
    </row>
    <row r="23" spans="1:7" s="45" customFormat="1" ht="15.6" x14ac:dyDescent="0.2">
      <c r="A23" s="92"/>
      <c r="B23" s="101"/>
      <c r="C23" s="112"/>
      <c r="D23" s="113"/>
      <c r="G23" s="117" t="e">
        <f>C22+#REF!+#REF!+#REF!+#REF!+#REF!</f>
        <v>#REF!</v>
      </c>
    </row>
    <row r="24" spans="1:7" s="56" customFormat="1" ht="15.6" x14ac:dyDescent="0.25">
      <c r="A24" s="133" t="str">
        <f>'ORÇAMENTO SEM DESON'!A43</f>
        <v>8.0</v>
      </c>
      <c r="B24" s="129" t="str">
        <f>'ORÇAMENTO SEM DESON'!D43</f>
        <v>PINTURA</v>
      </c>
      <c r="C24" s="130">
        <f>'ORÇAMENTO SEM DESON'!I43</f>
        <v>53962.89</v>
      </c>
      <c r="D24" s="131">
        <f>C24/$C$33</f>
        <v>0.10110503799320468</v>
      </c>
    </row>
    <row r="25" spans="1:7" s="45" customFormat="1" ht="15.6" x14ac:dyDescent="0.2">
      <c r="A25" s="92"/>
      <c r="B25" s="101"/>
      <c r="C25" s="112"/>
      <c r="D25" s="113"/>
      <c r="G25" s="117" t="e">
        <f>C24+#REF!+#REF!+#REF!+#REF!+C45</f>
        <v>#REF!</v>
      </c>
    </row>
    <row r="26" spans="1:7" s="56" customFormat="1" ht="15.6" x14ac:dyDescent="0.25">
      <c r="A26" s="133" t="str">
        <f>'ORÇAMENTO SEM DESON'!A48</f>
        <v>9.0</v>
      </c>
      <c r="B26" s="129" t="str">
        <f>'ORÇAMENTO SEM DESON'!D48</f>
        <v>ESQUADRIAS</v>
      </c>
      <c r="C26" s="130">
        <f>'ORÇAMENTO SEM DESON'!I48</f>
        <v>108541.51000000001</v>
      </c>
      <c r="D26" s="131">
        <f>C26/$C$33</f>
        <v>0.20336370962322084</v>
      </c>
    </row>
    <row r="27" spans="1:7" s="45" customFormat="1" ht="15.6" x14ac:dyDescent="0.2">
      <c r="A27" s="92"/>
      <c r="B27" s="101"/>
      <c r="C27" s="112"/>
      <c r="D27" s="113"/>
      <c r="G27" s="117" t="e">
        <f>C26+#REF!+#REF!+#REF!+#REF!+#REF!</f>
        <v>#REF!</v>
      </c>
    </row>
    <row r="28" spans="1:7" s="56" customFormat="1" ht="15.6" x14ac:dyDescent="0.25">
      <c r="A28" s="133" t="str">
        <f>'ORÇAMENTO SEM DESON'!A55</f>
        <v>10.0</v>
      </c>
      <c r="B28" s="129" t="str">
        <f>'ORÇAMENTO SEM DESON'!D55</f>
        <v>PAVIMENTAÇÃO</v>
      </c>
      <c r="C28" s="130">
        <f>'ORÇAMENTO SEM DESON'!I55</f>
        <v>16469.07</v>
      </c>
      <c r="D28" s="131">
        <f>C28/$C$33</f>
        <v>3.0856500607412751E-2</v>
      </c>
    </row>
    <row r="29" spans="1:7" s="45" customFormat="1" ht="15.6" x14ac:dyDescent="0.2">
      <c r="A29" s="92"/>
      <c r="B29" s="101"/>
      <c r="C29" s="112"/>
      <c r="D29" s="113"/>
      <c r="G29" s="117" t="e">
        <f>C28+#REF!+#REF!+#REF!+#REF!+#REF!</f>
        <v>#REF!</v>
      </c>
    </row>
    <row r="30" spans="1:7" s="56" customFormat="1" ht="15.6" x14ac:dyDescent="0.25">
      <c r="A30" s="133" t="str">
        <f>'ORÇAMENTO SEM DESON'!A57</f>
        <v>11.0</v>
      </c>
      <c r="B30" s="129" t="str">
        <f>'ORÇAMENTO SEM DESON'!D57</f>
        <v>OUTROS SERVIÇOS</v>
      </c>
      <c r="C30" s="130">
        <f>'ORÇAMENTO SEM DESON'!I57</f>
        <v>10998.5</v>
      </c>
      <c r="D30" s="131">
        <f>C30/$C$33</f>
        <v>2.0606823696215339E-2</v>
      </c>
    </row>
    <row r="31" spans="1:7" s="45" customFormat="1" ht="15.6" x14ac:dyDescent="0.2">
      <c r="A31" s="92"/>
      <c r="B31" s="101"/>
      <c r="C31" s="112"/>
      <c r="D31" s="113"/>
      <c r="G31" s="117" t="e">
        <f>C30+#REF!+#REF!+#REF!+#REF!+C51</f>
        <v>#REF!</v>
      </c>
    </row>
    <row r="32" spans="1:7" s="45" customFormat="1" ht="15.6" x14ac:dyDescent="0.2">
      <c r="A32" s="92"/>
      <c r="B32" s="101"/>
      <c r="C32" s="112"/>
      <c r="D32" s="113"/>
      <c r="G32" s="117" t="e">
        <f>#REF!+#REF!+#REF!+#REF!+#REF!+#REF!</f>
        <v>#REF!</v>
      </c>
    </row>
    <row r="33" spans="1:4" s="63" customFormat="1" ht="21.75" customHeight="1" x14ac:dyDescent="0.25">
      <c r="A33" s="256" t="s">
        <v>103</v>
      </c>
      <c r="B33" s="256"/>
      <c r="C33" s="132">
        <f>SUM(C10:C32)</f>
        <v>533730.97000000009</v>
      </c>
      <c r="D33" s="135">
        <f>SUM(D10:D32)</f>
        <v>0.99999999999999989</v>
      </c>
    </row>
    <row r="34" spans="1:4" x14ac:dyDescent="0.2">
      <c r="C34" s="114"/>
    </row>
    <row r="42" spans="1:4" s="53" customFormat="1" ht="20.399999999999999" hidden="1" x14ac:dyDescent="0.2">
      <c r="A42" s="51" t="s">
        <v>96</v>
      </c>
      <c r="B42" s="55" t="s">
        <v>98</v>
      </c>
      <c r="C42" s="52" t="e">
        <f>TRUNC(#REF!*#REF!,2)</f>
        <v>#REF!</v>
      </c>
      <c r="D42" s="115"/>
    </row>
  </sheetData>
  <mergeCells count="5">
    <mergeCell ref="A3:B3"/>
    <mergeCell ref="A33:B33"/>
    <mergeCell ref="A1:D1"/>
    <mergeCell ref="A4:D4"/>
    <mergeCell ref="A2:D2"/>
  </mergeCells>
  <printOptions horizontalCentered="1"/>
  <pageMargins left="0.59055118110236227" right="0.39370078740157483" top="1.5748031496062993" bottom="1.2598425196850394" header="0.39370078740157483" footer="0.39370078740157483"/>
  <pageSetup paperSize="9" scale="75" orientation="portrait" horizontalDpi="360" verticalDpi="360" r:id="rId1"/>
  <headerFooter>
    <oddHeader>&amp;C
&amp;G</oddHeader>
    <oddFooter>&amp;C&amp;G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5" tint="-0.249977111117893"/>
    <pageSetUpPr fitToPage="1"/>
  </sheetPr>
  <dimension ref="A1:M67"/>
  <sheetViews>
    <sheetView view="pageBreakPreview" topLeftCell="A2" zoomScale="130" zoomScaleNormal="100" zoomScaleSheetLayoutView="130" workbookViewId="0">
      <selection activeCell="D56" sqref="D56"/>
    </sheetView>
  </sheetViews>
  <sheetFormatPr defaultColWidth="9.109375" defaultRowHeight="10.199999999999999" x14ac:dyDescent="0.2"/>
  <cols>
    <col min="1" max="1" width="6.44140625" style="86" customWidth="1"/>
    <col min="2" max="2" width="12" style="86" customWidth="1"/>
    <col min="3" max="3" width="10.109375" style="87" bestFit="1" customWidth="1"/>
    <col min="4" max="4" width="47.5546875" style="88" customWidth="1"/>
    <col min="5" max="5" width="4.88671875" style="86" bestFit="1" customWidth="1"/>
    <col min="6" max="6" width="7.5546875" style="86" customWidth="1"/>
    <col min="7" max="7" width="9.6640625" style="86" customWidth="1"/>
    <col min="8" max="8" width="15.21875" style="86" bestFit="1" customWidth="1"/>
    <col min="9" max="9" width="19.33203125" style="86" bestFit="1" customWidth="1"/>
    <col min="10" max="10" width="11.6640625" style="83" bestFit="1" customWidth="1"/>
    <col min="11" max="11" width="10.6640625" style="50" bestFit="1" customWidth="1"/>
    <col min="12" max="12" width="12.6640625" style="83" bestFit="1" customWidth="1"/>
    <col min="13" max="13" width="13.33203125" style="50" bestFit="1" customWidth="1"/>
    <col min="14" max="16384" width="9.109375" style="50"/>
  </cols>
  <sheetData>
    <row r="1" spans="1:13" ht="27" customHeight="1" x14ac:dyDescent="0.2">
      <c r="A1" s="266" t="s">
        <v>371</v>
      </c>
      <c r="B1" s="267"/>
      <c r="C1" s="267"/>
      <c r="D1" s="267"/>
      <c r="E1" s="267"/>
      <c r="F1" s="267"/>
      <c r="G1" s="267"/>
      <c r="H1" s="267"/>
      <c r="I1" s="268"/>
    </row>
    <row r="2" spans="1:13" s="45" customFormat="1" ht="19.95" customHeight="1" x14ac:dyDescent="0.2">
      <c r="A2" s="263" t="s">
        <v>13</v>
      </c>
      <c r="B2" s="264"/>
      <c r="C2" s="264"/>
      <c r="D2" s="264"/>
      <c r="E2" s="264"/>
      <c r="F2" s="264"/>
      <c r="G2" s="264"/>
      <c r="H2" s="264"/>
      <c r="I2" s="265"/>
      <c r="J2" s="83"/>
      <c r="L2" s="84"/>
    </row>
    <row r="3" spans="1:13" s="45" customFormat="1" ht="16.2" customHeight="1" x14ac:dyDescent="0.2">
      <c r="A3" s="272"/>
      <c r="B3" s="273"/>
      <c r="C3" s="273"/>
      <c r="D3" s="273"/>
      <c r="E3" s="273"/>
      <c r="F3" s="273"/>
      <c r="G3" s="273"/>
      <c r="H3" s="273"/>
      <c r="I3" s="274"/>
      <c r="J3" s="83"/>
      <c r="L3" s="85"/>
      <c r="M3" s="85" t="s">
        <v>100</v>
      </c>
    </row>
    <row r="4" spans="1:13" s="67" customFormat="1" ht="14.4" customHeight="1" x14ac:dyDescent="0.2">
      <c r="A4" s="90" t="s">
        <v>105</v>
      </c>
      <c r="B4" s="90"/>
      <c r="C4" s="90"/>
      <c r="D4" s="90"/>
      <c r="E4" s="1"/>
      <c r="F4" s="90"/>
      <c r="G4" s="90"/>
      <c r="H4" s="90"/>
      <c r="I4" s="90"/>
      <c r="L4" s="84"/>
      <c r="M4" s="84">
        <f>'COMP_BDI_EDIFICACOES_20,84%_SEM'!D29</f>
        <v>0.24199999999999999</v>
      </c>
    </row>
    <row r="5" spans="1:13" s="67" customFormat="1" ht="14.4" customHeight="1" x14ac:dyDescent="0.2">
      <c r="A5" s="90" t="s">
        <v>350</v>
      </c>
      <c r="B5" s="90"/>
      <c r="C5" s="90"/>
      <c r="D5" s="90"/>
      <c r="E5" s="1"/>
      <c r="F5" s="90"/>
      <c r="G5" s="90"/>
      <c r="H5" s="90"/>
      <c r="I5" s="90"/>
    </row>
    <row r="6" spans="1:13" s="67" customFormat="1" ht="15" customHeight="1" x14ac:dyDescent="0.2">
      <c r="A6" s="90" t="s">
        <v>288</v>
      </c>
      <c r="B6" s="90"/>
      <c r="C6" s="90"/>
      <c r="D6" s="90"/>
      <c r="E6" s="1"/>
      <c r="F6" s="90"/>
      <c r="G6" s="90"/>
      <c r="H6" s="90"/>
      <c r="I6" s="90"/>
    </row>
    <row r="7" spans="1:13" s="45" customFormat="1" ht="14.4" customHeight="1" x14ac:dyDescent="0.2">
      <c r="A7" s="62"/>
      <c r="B7" s="62"/>
      <c r="C7" s="156"/>
      <c r="D7" s="157"/>
      <c r="E7" s="156"/>
      <c r="F7" s="158"/>
      <c r="G7" s="61"/>
      <c r="H7" s="61"/>
      <c r="I7" s="61"/>
      <c r="J7" s="244"/>
      <c r="K7" s="245"/>
    </row>
    <row r="8" spans="1:13" s="91" customFormat="1" ht="21.6" customHeight="1" x14ac:dyDescent="0.3">
      <c r="A8" s="159" t="s">
        <v>0</v>
      </c>
      <c r="B8" s="159" t="s">
        <v>30</v>
      </c>
      <c r="C8" s="160" t="s">
        <v>12</v>
      </c>
      <c r="D8" s="159" t="s">
        <v>31</v>
      </c>
      <c r="E8" s="159" t="s">
        <v>1</v>
      </c>
      <c r="F8" s="161" t="s">
        <v>99</v>
      </c>
      <c r="G8" s="162" t="s">
        <v>85</v>
      </c>
      <c r="H8" s="162" t="s">
        <v>86</v>
      </c>
      <c r="I8" s="162" t="s">
        <v>81</v>
      </c>
      <c r="J8" s="247"/>
      <c r="K8" s="248"/>
      <c r="L8" s="243"/>
    </row>
    <row r="9" spans="1:13" s="49" customFormat="1" x14ac:dyDescent="0.2">
      <c r="A9" s="163" t="s">
        <v>5</v>
      </c>
      <c r="B9" s="164"/>
      <c r="C9" s="165"/>
      <c r="D9" s="166" t="s">
        <v>6</v>
      </c>
      <c r="E9" s="164"/>
      <c r="F9" s="167"/>
      <c r="G9" s="167"/>
      <c r="H9" s="168"/>
      <c r="I9" s="169">
        <f>SUM(I10:I11)</f>
        <v>30490.2</v>
      </c>
      <c r="J9" s="249" t="e">
        <f>I9/#REF!</f>
        <v>#REF!</v>
      </c>
      <c r="K9" s="250"/>
      <c r="L9" s="188"/>
    </row>
    <row r="10" spans="1:13" s="49" customFormat="1" ht="30.6" x14ac:dyDescent="0.2">
      <c r="A10" s="170" t="s">
        <v>7</v>
      </c>
      <c r="B10" s="170" t="s">
        <v>128</v>
      </c>
      <c r="C10" s="171">
        <v>4813</v>
      </c>
      <c r="D10" s="172" t="s">
        <v>129</v>
      </c>
      <c r="E10" s="170" t="s">
        <v>8</v>
      </c>
      <c r="F10" s="173">
        <f>'MEMORIA DE CALCULO'!J15</f>
        <v>4.5</v>
      </c>
      <c r="G10" s="173">
        <v>250</v>
      </c>
      <c r="H10" s="173">
        <f>ROUND(G10*(1+$M$4),2)</f>
        <v>310.5</v>
      </c>
      <c r="I10" s="173">
        <f>TRUNC(F10*H10,2)</f>
        <v>1397.25</v>
      </c>
      <c r="J10" s="251"/>
      <c r="K10" s="250"/>
      <c r="L10" s="188"/>
    </row>
    <row r="11" spans="1:13" s="49" customFormat="1" ht="20.399999999999999" x14ac:dyDescent="0.2">
      <c r="A11" s="170" t="s">
        <v>287</v>
      </c>
      <c r="B11" s="170" t="s">
        <v>97</v>
      </c>
      <c r="C11" s="171" t="s">
        <v>285</v>
      </c>
      <c r="D11" s="172" t="s">
        <v>286</v>
      </c>
      <c r="E11" s="170" t="s">
        <v>8</v>
      </c>
      <c r="F11" s="173">
        <f>'MEMORIA DE CALCULO'!J20</f>
        <v>246.99</v>
      </c>
      <c r="G11" s="173">
        <v>94.84</v>
      </c>
      <c r="H11" s="173">
        <f>ROUND(G11*(1+$M$4),2)</f>
        <v>117.79</v>
      </c>
      <c r="I11" s="173">
        <f>TRUNC(F11*H11,2)</f>
        <v>29092.95</v>
      </c>
      <c r="J11" s="251"/>
      <c r="K11" s="250"/>
      <c r="L11" s="188"/>
    </row>
    <row r="12" spans="1:13" x14ac:dyDescent="0.2">
      <c r="A12" s="163" t="s">
        <v>9</v>
      </c>
      <c r="B12" s="164"/>
      <c r="C12" s="165"/>
      <c r="D12" s="166" t="s">
        <v>116</v>
      </c>
      <c r="E12" s="164"/>
      <c r="F12" s="167"/>
      <c r="G12" s="167"/>
      <c r="H12" s="168"/>
      <c r="I12" s="169">
        <f>SUM(I13:I16)</f>
        <v>4866.6000000000004</v>
      </c>
      <c r="J12" s="252"/>
      <c r="K12" s="253"/>
      <c r="L12" s="155"/>
    </row>
    <row r="13" spans="1:13" ht="13.2" customHeight="1" x14ac:dyDescent="0.2">
      <c r="A13" s="170" t="s">
        <v>10</v>
      </c>
      <c r="B13" s="170" t="s">
        <v>97</v>
      </c>
      <c r="C13" s="171" t="s">
        <v>228</v>
      </c>
      <c r="D13" s="172" t="s">
        <v>229</v>
      </c>
      <c r="E13" s="170" t="s">
        <v>18</v>
      </c>
      <c r="F13" s="173">
        <f>'MEMORIA DE CALCULO'!J29</f>
        <v>6.48</v>
      </c>
      <c r="G13" s="173">
        <v>25.29</v>
      </c>
      <c r="H13" s="173">
        <f t="shared" ref="H13:H60" si="0">ROUND(G13*(1+$M$4),2)</f>
        <v>31.41</v>
      </c>
      <c r="I13" s="173">
        <f t="shared" ref="I13:I16" si="1">TRUNC(F13*H13,2)</f>
        <v>203.53</v>
      </c>
      <c r="J13" s="252"/>
      <c r="K13" s="253"/>
      <c r="L13" s="155"/>
    </row>
    <row r="14" spans="1:13" ht="20.399999999999999" x14ac:dyDescent="0.2">
      <c r="A14" s="170" t="s">
        <v>11</v>
      </c>
      <c r="B14" s="170" t="s">
        <v>82</v>
      </c>
      <c r="C14" s="171" t="s">
        <v>252</v>
      </c>
      <c r="D14" s="172" t="s">
        <v>251</v>
      </c>
      <c r="E14" s="170" t="s">
        <v>8</v>
      </c>
      <c r="F14" s="173">
        <f>'MEMORIA DE CALCULO'!J35</f>
        <v>69.52</v>
      </c>
      <c r="G14" s="173">
        <f>'COMPOSICOES SEM DESON'!G59</f>
        <v>15.44</v>
      </c>
      <c r="H14" s="173">
        <f t="shared" si="0"/>
        <v>19.18</v>
      </c>
      <c r="I14" s="173">
        <f t="shared" si="1"/>
        <v>1333.39</v>
      </c>
      <c r="J14" s="252"/>
      <c r="K14" s="253"/>
      <c r="L14" s="155"/>
    </row>
    <row r="15" spans="1:13" s="49" customFormat="1" x14ac:dyDescent="0.2">
      <c r="A15" s="170" t="s">
        <v>20</v>
      </c>
      <c r="B15" s="170" t="s">
        <v>97</v>
      </c>
      <c r="C15" s="171" t="s">
        <v>125</v>
      </c>
      <c r="D15" s="172" t="s">
        <v>126</v>
      </c>
      <c r="E15" s="170" t="s">
        <v>18</v>
      </c>
      <c r="F15" s="173">
        <f>'MEMORIA DE CALCULO'!J48</f>
        <v>65.900000000000006</v>
      </c>
      <c r="G15" s="173">
        <v>18.45</v>
      </c>
      <c r="H15" s="173">
        <f t="shared" si="0"/>
        <v>22.91</v>
      </c>
      <c r="I15" s="173">
        <f t="shared" si="1"/>
        <v>1509.76</v>
      </c>
      <c r="J15" s="251"/>
      <c r="K15" s="250"/>
      <c r="L15" s="188"/>
    </row>
    <row r="16" spans="1:13" s="49" customFormat="1" x14ac:dyDescent="0.2">
      <c r="A16" s="170" t="s">
        <v>253</v>
      </c>
      <c r="B16" s="170" t="s">
        <v>32</v>
      </c>
      <c r="C16" s="171">
        <v>96995</v>
      </c>
      <c r="D16" s="172" t="s">
        <v>127</v>
      </c>
      <c r="E16" s="170" t="s">
        <v>18</v>
      </c>
      <c r="F16" s="173">
        <f>'MEMORIA DE CALCULO'!J61</f>
        <v>28.71</v>
      </c>
      <c r="G16" s="173">
        <v>51.04</v>
      </c>
      <c r="H16" s="173">
        <f t="shared" si="0"/>
        <v>63.39</v>
      </c>
      <c r="I16" s="173">
        <f t="shared" si="1"/>
        <v>1819.92</v>
      </c>
      <c r="J16" s="251"/>
      <c r="K16" s="250"/>
      <c r="L16" s="188"/>
    </row>
    <row r="17" spans="1:12" s="49" customFormat="1" x14ac:dyDescent="0.2">
      <c r="A17" s="163" t="s">
        <v>197</v>
      </c>
      <c r="B17" s="164"/>
      <c r="C17" s="165"/>
      <c r="D17" s="166" t="s">
        <v>114</v>
      </c>
      <c r="E17" s="164"/>
      <c r="F17" s="167"/>
      <c r="G17" s="167"/>
      <c r="H17" s="168"/>
      <c r="I17" s="169">
        <f>SUM(I18:I23)</f>
        <v>72286</v>
      </c>
      <c r="J17" s="249" t="e">
        <f>I17/#REF!</f>
        <v>#REF!</v>
      </c>
      <c r="K17" s="250"/>
      <c r="L17" s="188"/>
    </row>
    <row r="18" spans="1:12" s="49" customFormat="1" ht="30.6" x14ac:dyDescent="0.2">
      <c r="A18" s="170" t="s">
        <v>198</v>
      </c>
      <c r="B18" s="170" t="s">
        <v>32</v>
      </c>
      <c r="C18" s="171">
        <v>101166</v>
      </c>
      <c r="D18" s="172" t="s">
        <v>120</v>
      </c>
      <c r="E18" s="170" t="s">
        <v>18</v>
      </c>
      <c r="F18" s="173">
        <f>'MEMORIA DE CALCULO'!J69</f>
        <v>28.77</v>
      </c>
      <c r="G18" s="173">
        <v>569.65</v>
      </c>
      <c r="H18" s="173">
        <f t="shared" si="0"/>
        <v>707.51</v>
      </c>
      <c r="I18" s="173">
        <f t="shared" ref="I18:I23" si="2">TRUNC(F18*H18,2)</f>
        <v>20355.060000000001</v>
      </c>
      <c r="J18" s="251"/>
      <c r="K18" s="250"/>
      <c r="L18" s="188"/>
    </row>
    <row r="19" spans="1:12" s="49" customFormat="1" ht="30.6" x14ac:dyDescent="0.2">
      <c r="A19" s="170" t="s">
        <v>199</v>
      </c>
      <c r="B19" s="170" t="s">
        <v>32</v>
      </c>
      <c r="C19" s="171">
        <v>94965</v>
      </c>
      <c r="D19" s="172" t="s">
        <v>123</v>
      </c>
      <c r="E19" s="170" t="s">
        <v>18</v>
      </c>
      <c r="F19" s="173">
        <f>'MEMORIA DE CALCULO'!J87</f>
        <v>23.430000000000003</v>
      </c>
      <c r="G19" s="173">
        <v>502.99</v>
      </c>
      <c r="H19" s="173">
        <f t="shared" si="0"/>
        <v>624.71</v>
      </c>
      <c r="I19" s="173">
        <f t="shared" si="2"/>
        <v>14636.95</v>
      </c>
      <c r="J19" s="251"/>
      <c r="K19" s="250"/>
      <c r="L19" s="188"/>
    </row>
    <row r="20" spans="1:12" s="49" customFormat="1" ht="20.399999999999999" x14ac:dyDescent="0.2">
      <c r="A20" s="170" t="s">
        <v>200</v>
      </c>
      <c r="B20" s="170" t="s">
        <v>32</v>
      </c>
      <c r="C20" s="171">
        <v>96546</v>
      </c>
      <c r="D20" s="172" t="s">
        <v>157</v>
      </c>
      <c r="E20" s="170" t="s">
        <v>135</v>
      </c>
      <c r="F20" s="173">
        <f>'MEMORIA DE CALCULO'!J96</f>
        <v>769.93000000000006</v>
      </c>
      <c r="G20" s="173">
        <v>15.22</v>
      </c>
      <c r="H20" s="173">
        <f t="shared" si="0"/>
        <v>18.899999999999999</v>
      </c>
      <c r="I20" s="173">
        <f t="shared" si="2"/>
        <v>14551.67</v>
      </c>
      <c r="J20" s="251"/>
      <c r="K20" s="250"/>
      <c r="L20" s="188"/>
    </row>
    <row r="21" spans="1:12" s="49" customFormat="1" ht="20.399999999999999" x14ac:dyDescent="0.2">
      <c r="A21" s="170" t="s">
        <v>201</v>
      </c>
      <c r="B21" s="170" t="s">
        <v>32</v>
      </c>
      <c r="C21" s="171">
        <v>96544</v>
      </c>
      <c r="D21" s="172" t="s">
        <v>160</v>
      </c>
      <c r="E21" s="170" t="s">
        <v>135</v>
      </c>
      <c r="F21" s="173">
        <f>'MEMORIA DE CALCULO'!J102</f>
        <v>333.03</v>
      </c>
      <c r="G21" s="173">
        <v>18.260000000000002</v>
      </c>
      <c r="H21" s="173">
        <f t="shared" si="0"/>
        <v>22.68</v>
      </c>
      <c r="I21" s="173">
        <f t="shared" si="2"/>
        <v>7553.12</v>
      </c>
      <c r="J21" s="251"/>
      <c r="K21" s="250"/>
      <c r="L21" s="188"/>
    </row>
    <row r="22" spans="1:12" s="49" customFormat="1" ht="30.6" x14ac:dyDescent="0.2">
      <c r="A22" s="170" t="s">
        <v>202</v>
      </c>
      <c r="B22" s="170" t="s">
        <v>32</v>
      </c>
      <c r="C22" s="171">
        <v>96536</v>
      </c>
      <c r="D22" s="172" t="s">
        <v>161</v>
      </c>
      <c r="E22" s="170" t="s">
        <v>8</v>
      </c>
      <c r="F22" s="173">
        <f>'MEMORIA DE CALCULO'!J107</f>
        <v>135.93</v>
      </c>
      <c r="G22" s="173">
        <v>83.05</v>
      </c>
      <c r="H22" s="173">
        <f t="shared" si="0"/>
        <v>103.15</v>
      </c>
      <c r="I22" s="173">
        <f t="shared" si="2"/>
        <v>14021.17</v>
      </c>
      <c r="J22" s="251"/>
      <c r="K22" s="250"/>
      <c r="L22" s="188"/>
    </row>
    <row r="23" spans="1:12" s="49" customFormat="1" ht="22.5" customHeight="1" x14ac:dyDescent="0.2">
      <c r="A23" s="170" t="s">
        <v>203</v>
      </c>
      <c r="B23" s="170" t="s">
        <v>32</v>
      </c>
      <c r="C23" s="171">
        <v>96619</v>
      </c>
      <c r="D23" s="172" t="s">
        <v>171</v>
      </c>
      <c r="E23" s="170" t="s">
        <v>8</v>
      </c>
      <c r="F23" s="173">
        <f>'MEMORIA DE CALCULO'!J116</f>
        <v>28.44</v>
      </c>
      <c r="G23" s="173">
        <v>33.07</v>
      </c>
      <c r="H23" s="173">
        <f t="shared" si="0"/>
        <v>41.07</v>
      </c>
      <c r="I23" s="173">
        <f t="shared" si="2"/>
        <v>1168.03</v>
      </c>
      <c r="J23" s="251"/>
      <c r="K23" s="250"/>
      <c r="L23" s="188"/>
    </row>
    <row r="24" spans="1:12" x14ac:dyDescent="0.2">
      <c r="A24" s="163" t="s">
        <v>204</v>
      </c>
      <c r="B24" s="164"/>
      <c r="C24" s="165"/>
      <c r="D24" s="166" t="s">
        <v>115</v>
      </c>
      <c r="E24" s="164"/>
      <c r="F24" s="167"/>
      <c r="G24" s="167"/>
      <c r="H24" s="168"/>
      <c r="I24" s="169">
        <f>SUM(I25:I32)</f>
        <v>125494.09</v>
      </c>
      <c r="J24" s="252"/>
      <c r="K24" s="253"/>
      <c r="L24" s="155"/>
    </row>
    <row r="25" spans="1:12" ht="20.399999999999999" x14ac:dyDescent="0.2">
      <c r="A25" s="170" t="s">
        <v>205</v>
      </c>
      <c r="B25" s="170" t="s">
        <v>97</v>
      </c>
      <c r="C25" s="171" t="s">
        <v>178</v>
      </c>
      <c r="D25" s="172" t="s">
        <v>179</v>
      </c>
      <c r="E25" s="170" t="s">
        <v>18</v>
      </c>
      <c r="F25" s="173">
        <f>'MEMORIA DE CALCULO'!J123</f>
        <v>33.79</v>
      </c>
      <c r="G25" s="173">
        <v>58.37</v>
      </c>
      <c r="H25" s="173">
        <f t="shared" si="0"/>
        <v>72.5</v>
      </c>
      <c r="I25" s="173">
        <f t="shared" ref="I25:I32" si="3">TRUNC(F25*H25,2)</f>
        <v>2449.77</v>
      </c>
      <c r="J25" s="252"/>
      <c r="K25" s="253"/>
      <c r="L25" s="155"/>
    </row>
    <row r="26" spans="1:12" s="49" customFormat="1" ht="30.6" x14ac:dyDescent="0.2">
      <c r="A26" s="170" t="s">
        <v>206</v>
      </c>
      <c r="B26" s="170" t="s">
        <v>32</v>
      </c>
      <c r="C26" s="171">
        <v>103669</v>
      </c>
      <c r="D26" s="172" t="s">
        <v>124</v>
      </c>
      <c r="E26" s="170" t="s">
        <v>18</v>
      </c>
      <c r="F26" s="173">
        <f>'MEMORIA DE CALCULO'!J132</f>
        <v>6.12</v>
      </c>
      <c r="G26" s="173">
        <v>874.98</v>
      </c>
      <c r="H26" s="173">
        <f t="shared" si="0"/>
        <v>1086.73</v>
      </c>
      <c r="I26" s="173">
        <f t="shared" si="3"/>
        <v>6650.78</v>
      </c>
      <c r="J26" s="251"/>
      <c r="K26" s="250"/>
      <c r="L26" s="188"/>
    </row>
    <row r="27" spans="1:12" s="49" customFormat="1" ht="40.799999999999997" x14ac:dyDescent="0.2">
      <c r="A27" s="170" t="s">
        <v>207</v>
      </c>
      <c r="B27" s="170" t="s">
        <v>32</v>
      </c>
      <c r="C27" s="171">
        <v>103682</v>
      </c>
      <c r="D27" s="172" t="s">
        <v>282</v>
      </c>
      <c r="E27" s="170" t="s">
        <v>18</v>
      </c>
      <c r="F27" s="173">
        <f>'MEMORIA DE CALCULO'!J138</f>
        <v>11.19</v>
      </c>
      <c r="G27" s="173">
        <v>892.57</v>
      </c>
      <c r="H27" s="173">
        <f t="shared" si="0"/>
        <v>1108.57</v>
      </c>
      <c r="I27" s="173">
        <f t="shared" si="3"/>
        <v>12404.89</v>
      </c>
      <c r="J27" s="251"/>
      <c r="K27" s="250"/>
      <c r="L27" s="188"/>
    </row>
    <row r="28" spans="1:12" s="49" customFormat="1" ht="30.6" x14ac:dyDescent="0.2">
      <c r="A28" s="170" t="s">
        <v>208</v>
      </c>
      <c r="B28" s="170" t="s">
        <v>32</v>
      </c>
      <c r="C28" s="171">
        <v>104108</v>
      </c>
      <c r="D28" s="172" t="s">
        <v>162</v>
      </c>
      <c r="E28" s="170" t="s">
        <v>135</v>
      </c>
      <c r="F28" s="173">
        <f>'MEMORIA DE CALCULO'!J149</f>
        <v>1184.8200000000002</v>
      </c>
      <c r="G28" s="173">
        <v>15.12</v>
      </c>
      <c r="H28" s="173">
        <f t="shared" si="0"/>
        <v>18.78</v>
      </c>
      <c r="I28" s="173">
        <f t="shared" si="3"/>
        <v>22250.91</v>
      </c>
      <c r="J28" s="251"/>
      <c r="K28" s="250"/>
      <c r="L28" s="188"/>
    </row>
    <row r="29" spans="1:12" s="49" customFormat="1" ht="30.6" x14ac:dyDescent="0.2">
      <c r="A29" s="170" t="s">
        <v>209</v>
      </c>
      <c r="B29" s="170" t="s">
        <v>32</v>
      </c>
      <c r="C29" s="171">
        <v>104110</v>
      </c>
      <c r="D29" s="172" t="s">
        <v>163</v>
      </c>
      <c r="E29" s="170" t="s">
        <v>135</v>
      </c>
      <c r="F29" s="173">
        <f>'MEMORIA DE CALCULO'!J158</f>
        <v>213.45</v>
      </c>
      <c r="G29" s="173">
        <v>20.010000000000002</v>
      </c>
      <c r="H29" s="173">
        <f t="shared" si="0"/>
        <v>24.85</v>
      </c>
      <c r="I29" s="173">
        <f t="shared" si="3"/>
        <v>5304.23</v>
      </c>
      <c r="J29" s="251"/>
      <c r="K29" s="250"/>
      <c r="L29" s="188"/>
    </row>
    <row r="30" spans="1:12" s="49" customFormat="1" ht="30.6" x14ac:dyDescent="0.2">
      <c r="A30" s="170" t="s">
        <v>275</v>
      </c>
      <c r="B30" s="170" t="s">
        <v>32</v>
      </c>
      <c r="C30" s="171">
        <v>104111</v>
      </c>
      <c r="D30" s="172" t="s">
        <v>278</v>
      </c>
      <c r="E30" s="170" t="s">
        <v>135</v>
      </c>
      <c r="F30" s="173">
        <f>'MEMORIA DE CALCULO'!J164</f>
        <v>409.66999999999996</v>
      </c>
      <c r="G30" s="173">
        <v>22.09</v>
      </c>
      <c r="H30" s="173">
        <f t="shared" si="0"/>
        <v>27.44</v>
      </c>
      <c r="I30" s="173">
        <f t="shared" si="3"/>
        <v>11241.34</v>
      </c>
      <c r="J30" s="251"/>
      <c r="K30" s="250"/>
      <c r="L30" s="188"/>
    </row>
    <row r="31" spans="1:12" s="49" customFormat="1" ht="40.799999999999997" x14ac:dyDescent="0.2">
      <c r="A31" s="170" t="s">
        <v>277</v>
      </c>
      <c r="B31" s="170" t="s">
        <v>32</v>
      </c>
      <c r="C31" s="171">
        <v>92413</v>
      </c>
      <c r="D31" s="172" t="s">
        <v>170</v>
      </c>
      <c r="E31" s="170" t="s">
        <v>8</v>
      </c>
      <c r="F31" s="173">
        <f>'MEMORIA DE CALCULO'!J173</f>
        <v>151.32</v>
      </c>
      <c r="G31" s="173">
        <v>132.16999999999999</v>
      </c>
      <c r="H31" s="173">
        <f t="shared" si="0"/>
        <v>164.16</v>
      </c>
      <c r="I31" s="173">
        <f t="shared" si="3"/>
        <v>24840.69</v>
      </c>
      <c r="J31" s="251"/>
      <c r="K31" s="250"/>
      <c r="L31" s="188"/>
    </row>
    <row r="32" spans="1:12" s="49" customFormat="1" ht="30.6" x14ac:dyDescent="0.2">
      <c r="A32" s="170" t="s">
        <v>283</v>
      </c>
      <c r="B32" s="170" t="s">
        <v>32</v>
      </c>
      <c r="C32" s="171">
        <v>92448</v>
      </c>
      <c r="D32" s="172" t="s">
        <v>284</v>
      </c>
      <c r="E32" s="170" t="s">
        <v>8</v>
      </c>
      <c r="F32" s="173">
        <f>'MEMORIA DE CALCULO'!J179</f>
        <v>185.26000000000002</v>
      </c>
      <c r="G32" s="173">
        <v>175.37</v>
      </c>
      <c r="H32" s="173">
        <f t="shared" si="0"/>
        <v>217.81</v>
      </c>
      <c r="I32" s="173">
        <f t="shared" si="3"/>
        <v>40351.480000000003</v>
      </c>
      <c r="J32" s="251"/>
      <c r="K32" s="250"/>
      <c r="L32" s="188"/>
    </row>
    <row r="33" spans="1:12" x14ac:dyDescent="0.2">
      <c r="A33" s="163" t="s">
        <v>210</v>
      </c>
      <c r="B33" s="164"/>
      <c r="C33" s="165"/>
      <c r="D33" s="166" t="s">
        <v>113</v>
      </c>
      <c r="E33" s="164"/>
      <c r="F33" s="167"/>
      <c r="G33" s="167"/>
      <c r="H33" s="168"/>
      <c r="I33" s="169">
        <f>SUM(I34:I34)</f>
        <v>26858.7</v>
      </c>
      <c r="J33" s="252"/>
      <c r="K33" s="253"/>
      <c r="L33" s="155"/>
    </row>
    <row r="34" spans="1:12" s="49" customFormat="1" ht="38.25" customHeight="1" x14ac:dyDescent="0.2">
      <c r="A34" s="170" t="s">
        <v>211</v>
      </c>
      <c r="B34" s="170" t="s">
        <v>32</v>
      </c>
      <c r="C34" s="171">
        <v>103356</v>
      </c>
      <c r="D34" s="172" t="s">
        <v>117</v>
      </c>
      <c r="E34" s="170" t="s">
        <v>8</v>
      </c>
      <c r="F34" s="173">
        <f>'MEMORIA DE CALCULO'!J190</f>
        <v>449.96999999999997</v>
      </c>
      <c r="G34" s="173">
        <v>48.06</v>
      </c>
      <c r="H34" s="173">
        <f t="shared" si="0"/>
        <v>59.69</v>
      </c>
      <c r="I34" s="173">
        <f>TRUNC(F34*H34,2)</f>
        <v>26858.7</v>
      </c>
      <c r="J34" s="251"/>
      <c r="K34" s="250"/>
      <c r="L34" s="188"/>
    </row>
    <row r="35" spans="1:12" s="49" customFormat="1" x14ac:dyDescent="0.2">
      <c r="A35" s="163" t="s">
        <v>212</v>
      </c>
      <c r="B35" s="164"/>
      <c r="C35" s="165"/>
      <c r="D35" s="166" t="s">
        <v>131</v>
      </c>
      <c r="E35" s="164"/>
      <c r="F35" s="167"/>
      <c r="G35" s="167"/>
      <c r="H35" s="168"/>
      <c r="I35" s="169">
        <f>SUM(I36:I36)</f>
        <v>12088.7</v>
      </c>
      <c r="J35" s="249" t="e">
        <f>I35/#REF!</f>
        <v>#REF!</v>
      </c>
      <c r="K35" s="250"/>
      <c r="L35" s="188"/>
    </row>
    <row r="36" spans="1:12" s="49" customFormat="1" ht="20.399999999999999" x14ac:dyDescent="0.2">
      <c r="A36" s="170" t="s">
        <v>213</v>
      </c>
      <c r="B36" s="170" t="s">
        <v>32</v>
      </c>
      <c r="C36" s="171">
        <v>98557</v>
      </c>
      <c r="D36" s="172" t="s">
        <v>132</v>
      </c>
      <c r="E36" s="170" t="s">
        <v>8</v>
      </c>
      <c r="F36" s="173">
        <f>'MEMORIA DE CALCULO'!J198</f>
        <v>226.55</v>
      </c>
      <c r="G36" s="173">
        <v>42.96</v>
      </c>
      <c r="H36" s="173">
        <f t="shared" si="0"/>
        <v>53.36</v>
      </c>
      <c r="I36" s="173">
        <f>TRUNC(F36*H36,2)</f>
        <v>12088.7</v>
      </c>
      <c r="J36" s="251"/>
      <c r="K36" s="250"/>
      <c r="L36" s="188"/>
    </row>
    <row r="37" spans="1:12" x14ac:dyDescent="0.2">
      <c r="A37" s="163" t="s">
        <v>214</v>
      </c>
      <c r="B37" s="164"/>
      <c r="C37" s="165"/>
      <c r="D37" s="166" t="s">
        <v>84</v>
      </c>
      <c r="E37" s="164"/>
      <c r="F37" s="167"/>
      <c r="G37" s="167"/>
      <c r="H37" s="168"/>
      <c r="I37" s="169">
        <f>SUM(I38:I42)</f>
        <v>71674.710000000006</v>
      </c>
      <c r="J37" s="252"/>
      <c r="K37" s="253"/>
      <c r="L37" s="155"/>
    </row>
    <row r="38" spans="1:12" s="49" customFormat="1" ht="40.799999999999997" x14ac:dyDescent="0.2">
      <c r="A38" s="170" t="s">
        <v>215</v>
      </c>
      <c r="B38" s="170" t="s">
        <v>32</v>
      </c>
      <c r="C38" s="171">
        <v>87905</v>
      </c>
      <c r="D38" s="172" t="s">
        <v>133</v>
      </c>
      <c r="E38" s="170" t="s">
        <v>8</v>
      </c>
      <c r="F38" s="173">
        <f>'MEMORIA DE CALCULO'!J208</f>
        <v>976.65</v>
      </c>
      <c r="G38" s="173">
        <v>7.85</v>
      </c>
      <c r="H38" s="173">
        <f t="shared" si="0"/>
        <v>9.75</v>
      </c>
      <c r="I38" s="173">
        <f t="shared" ref="I38:I42" si="4">TRUNC(F38*H38,2)</f>
        <v>9522.33</v>
      </c>
      <c r="J38" s="251"/>
      <c r="K38" s="250"/>
      <c r="L38" s="188"/>
    </row>
    <row r="39" spans="1:12" ht="20.399999999999999" x14ac:dyDescent="0.2">
      <c r="A39" s="170" t="s">
        <v>216</v>
      </c>
      <c r="B39" s="170" t="s">
        <v>97</v>
      </c>
      <c r="C39" s="171" t="s">
        <v>191</v>
      </c>
      <c r="D39" s="172" t="s">
        <v>192</v>
      </c>
      <c r="E39" s="170" t="s">
        <v>8</v>
      </c>
      <c r="F39" s="173">
        <f>'MEMORIA DE CALCULO'!J215</f>
        <v>921.8</v>
      </c>
      <c r="G39" s="173">
        <v>43.54</v>
      </c>
      <c r="H39" s="173">
        <f t="shared" si="0"/>
        <v>54.08</v>
      </c>
      <c r="I39" s="173">
        <f t="shared" si="4"/>
        <v>49850.94</v>
      </c>
      <c r="J39" s="252"/>
      <c r="K39" s="253"/>
      <c r="L39" s="155"/>
    </row>
    <row r="40" spans="1:12" ht="40.799999999999997" x14ac:dyDescent="0.2">
      <c r="A40" s="170" t="s">
        <v>217</v>
      </c>
      <c r="B40" s="170" t="s">
        <v>32</v>
      </c>
      <c r="C40" s="171">
        <v>87775</v>
      </c>
      <c r="D40" s="172" t="s">
        <v>134</v>
      </c>
      <c r="E40" s="170" t="s">
        <v>8</v>
      </c>
      <c r="F40" s="173">
        <f>'MEMORIA DE CALCULO'!J222</f>
        <v>59.68</v>
      </c>
      <c r="G40" s="173">
        <v>56.26</v>
      </c>
      <c r="H40" s="173">
        <f t="shared" si="0"/>
        <v>69.87</v>
      </c>
      <c r="I40" s="173">
        <f t="shared" si="4"/>
        <v>4169.84</v>
      </c>
      <c r="J40" s="252"/>
      <c r="K40" s="253"/>
      <c r="L40" s="155"/>
    </row>
    <row r="41" spans="1:12" s="49" customFormat="1" ht="20.399999999999999" x14ac:dyDescent="0.2">
      <c r="A41" s="170" t="s">
        <v>218</v>
      </c>
      <c r="B41" s="170" t="s">
        <v>82</v>
      </c>
      <c r="C41" s="171" t="str">
        <f>'COMPOSICOES SEM DESON'!A23</f>
        <v>COMP-002</v>
      </c>
      <c r="D41" s="172" t="str">
        <f>'COMPOSICOES SEM DESON'!D24</f>
        <v>REVESTIMENTO CERÂMICO COM PLACAS TIPO ESMALTADA EXTRA DE DIMENSÕES 10X10</v>
      </c>
      <c r="E41" s="170" t="str">
        <f>'COMPOSICOES SEM DESON'!D25</f>
        <v>m²</v>
      </c>
      <c r="F41" s="173">
        <f>'MEMORIA DE CALCULO'!J229</f>
        <v>55.63</v>
      </c>
      <c r="G41" s="173">
        <f>'COMPOSICOES SEM DESON'!G34</f>
        <v>116.32</v>
      </c>
      <c r="H41" s="173">
        <f t="shared" si="0"/>
        <v>144.47</v>
      </c>
      <c r="I41" s="173">
        <f t="shared" si="4"/>
        <v>8036.86</v>
      </c>
      <c r="J41" s="251"/>
      <c r="K41" s="250"/>
      <c r="L41" s="188"/>
    </row>
    <row r="42" spans="1:12" s="49" customFormat="1" ht="30.6" x14ac:dyDescent="0.2">
      <c r="A42" s="170" t="s">
        <v>362</v>
      </c>
      <c r="B42" s="170" t="s">
        <v>32</v>
      </c>
      <c r="C42" s="171">
        <v>87275</v>
      </c>
      <c r="D42" s="172" t="s">
        <v>363</v>
      </c>
      <c r="E42" s="170" t="s">
        <v>8</v>
      </c>
      <c r="F42" s="173">
        <f>'MEMORIA DE CALCULO'!J234</f>
        <v>0.9</v>
      </c>
      <c r="G42" s="173">
        <v>84.76</v>
      </c>
      <c r="H42" s="173">
        <f t="shared" si="0"/>
        <v>105.27</v>
      </c>
      <c r="I42" s="173">
        <f t="shared" si="4"/>
        <v>94.74</v>
      </c>
      <c r="J42" s="251"/>
      <c r="K42" s="250"/>
      <c r="L42" s="188"/>
    </row>
    <row r="43" spans="1:12" x14ac:dyDescent="0.2">
      <c r="A43" s="163" t="s">
        <v>219</v>
      </c>
      <c r="B43" s="164"/>
      <c r="C43" s="165"/>
      <c r="D43" s="166" t="s">
        <v>15</v>
      </c>
      <c r="E43" s="164"/>
      <c r="F43" s="167"/>
      <c r="G43" s="167"/>
      <c r="H43" s="168"/>
      <c r="I43" s="169">
        <f>SUM(I44:I47)</f>
        <v>53962.89</v>
      </c>
      <c r="J43" s="252"/>
      <c r="K43" s="253"/>
      <c r="L43" s="155"/>
    </row>
    <row r="44" spans="1:12" ht="20.399999999999999" x14ac:dyDescent="0.2">
      <c r="A44" s="170" t="s">
        <v>220</v>
      </c>
      <c r="B44" s="170" t="s">
        <v>32</v>
      </c>
      <c r="C44" s="171">
        <v>96135</v>
      </c>
      <c r="D44" s="172" t="s">
        <v>272</v>
      </c>
      <c r="E44" s="170" t="s">
        <v>8</v>
      </c>
      <c r="F44" s="175">
        <f>'MEMORIA DE CALCULO'!J242</f>
        <v>844.95</v>
      </c>
      <c r="G44" s="173">
        <v>25.51</v>
      </c>
      <c r="H44" s="173">
        <f t="shared" si="0"/>
        <v>31.68</v>
      </c>
      <c r="I44" s="173">
        <f t="shared" ref="I44:I47" si="5">TRUNC(F44*H44,2)</f>
        <v>26768.01</v>
      </c>
      <c r="J44" s="252"/>
      <c r="K44" s="253"/>
      <c r="L44" s="155"/>
    </row>
    <row r="45" spans="1:12" x14ac:dyDescent="0.2">
      <c r="A45" s="170" t="s">
        <v>221</v>
      </c>
      <c r="B45" s="170" t="s">
        <v>97</v>
      </c>
      <c r="C45" s="171" t="s">
        <v>273</v>
      </c>
      <c r="D45" s="172" t="s">
        <v>274</v>
      </c>
      <c r="E45" s="170" t="s">
        <v>8</v>
      </c>
      <c r="F45" s="175">
        <f>'MEMORIA DE CALCULO'!J249</f>
        <v>844.95</v>
      </c>
      <c r="G45" s="173">
        <v>22.35</v>
      </c>
      <c r="H45" s="173">
        <f t="shared" si="0"/>
        <v>27.76</v>
      </c>
      <c r="I45" s="173">
        <f t="shared" si="5"/>
        <v>23455.81</v>
      </c>
      <c r="J45" s="252"/>
      <c r="K45" s="253"/>
      <c r="L45" s="155"/>
    </row>
    <row r="46" spans="1:12" ht="40.799999999999997" x14ac:dyDescent="0.2">
      <c r="A46" s="170" t="s">
        <v>271</v>
      </c>
      <c r="B46" s="170" t="s">
        <v>32</v>
      </c>
      <c r="C46" s="171">
        <v>100740</v>
      </c>
      <c r="D46" s="172" t="s">
        <v>151</v>
      </c>
      <c r="E46" s="170" t="s">
        <v>8</v>
      </c>
      <c r="F46" s="175">
        <f>'MEMORIA DE CALCULO'!J255</f>
        <v>70.150000000000006</v>
      </c>
      <c r="G46" s="173">
        <v>11.19</v>
      </c>
      <c r="H46" s="173">
        <f t="shared" si="0"/>
        <v>13.9</v>
      </c>
      <c r="I46" s="173">
        <f t="shared" si="5"/>
        <v>975.08</v>
      </c>
      <c r="J46" s="252"/>
      <c r="K46" s="253"/>
      <c r="L46" s="155"/>
    </row>
    <row r="47" spans="1:12" x14ac:dyDescent="0.2">
      <c r="A47" s="170" t="s">
        <v>342</v>
      </c>
      <c r="B47" s="170" t="s">
        <v>82</v>
      </c>
      <c r="C47" s="171" t="s">
        <v>320</v>
      </c>
      <c r="D47" s="172" t="s">
        <v>343</v>
      </c>
      <c r="E47" s="170" t="s">
        <v>8</v>
      </c>
      <c r="F47" s="175">
        <f>'MEMORIA DE CALCULO'!J260</f>
        <v>81.63</v>
      </c>
      <c r="G47" s="173">
        <f>'COMPOSICOES SEM DESON'!G91</f>
        <v>27.26</v>
      </c>
      <c r="H47" s="173">
        <f t="shared" si="0"/>
        <v>33.86</v>
      </c>
      <c r="I47" s="173">
        <f t="shared" si="5"/>
        <v>2763.99</v>
      </c>
      <c r="J47" s="252"/>
      <c r="K47" s="253"/>
      <c r="L47" s="155"/>
    </row>
    <row r="48" spans="1:12" s="49" customFormat="1" x14ac:dyDescent="0.2">
      <c r="A48" s="163" t="s">
        <v>222</v>
      </c>
      <c r="B48" s="164"/>
      <c r="C48" s="165"/>
      <c r="D48" s="166" t="s">
        <v>14</v>
      </c>
      <c r="E48" s="164"/>
      <c r="F48" s="167"/>
      <c r="G48" s="167"/>
      <c r="H48" s="168"/>
      <c r="I48" s="169">
        <f>SUM(I49:I54)</f>
        <v>108541.51000000001</v>
      </c>
      <c r="J48" s="249" t="e">
        <f>I48/#REF!</f>
        <v>#REF!</v>
      </c>
      <c r="K48" s="250"/>
      <c r="L48" s="188"/>
    </row>
    <row r="49" spans="1:12" s="45" customFormat="1" ht="40.799999999999997" x14ac:dyDescent="0.2">
      <c r="A49" s="170" t="s">
        <v>223</v>
      </c>
      <c r="B49" s="170" t="s">
        <v>82</v>
      </c>
      <c r="C49" s="171" t="s">
        <v>83</v>
      </c>
      <c r="D49" s="172" t="s">
        <v>236</v>
      </c>
      <c r="E49" s="170" t="s">
        <v>8</v>
      </c>
      <c r="F49" s="175">
        <f>'MEMORIA DE CALCULO'!J267</f>
        <v>61.15</v>
      </c>
      <c r="G49" s="173">
        <f>'COMPOSICOES SEM DESON'!G20</f>
        <v>286.18</v>
      </c>
      <c r="H49" s="173">
        <f t="shared" si="0"/>
        <v>355.44</v>
      </c>
      <c r="I49" s="173">
        <f t="shared" ref="I49:I54" si="6">TRUNC(F49*H49,2)</f>
        <v>21735.15</v>
      </c>
      <c r="J49" s="252"/>
      <c r="K49" s="152"/>
      <c r="L49" s="181"/>
    </row>
    <row r="50" spans="1:12" s="45" customFormat="1" ht="30.6" x14ac:dyDescent="0.2">
      <c r="A50" s="170" t="s">
        <v>224</v>
      </c>
      <c r="B50" s="170" t="s">
        <v>82</v>
      </c>
      <c r="C50" s="171" t="str">
        <f>'COMPOSICOES SEM DESON'!A38</f>
        <v>COMP-003</v>
      </c>
      <c r="D50" s="172" t="str">
        <f>'COMPOSICOES SEM DESON'!D39</f>
        <v>PORTAO DE CORRER EM GRADIL FIXO DE BARRA DE FERRO CHATA DE 3 X 1/4" NA VERTICAL, SEM REQUADRO, ACABAMENTO NATURAL, COM TRILHOS E ROLDANAS</v>
      </c>
      <c r="E50" s="170" t="str">
        <f>'COMPOSICOES SEM DESON'!D40</f>
        <v>m²</v>
      </c>
      <c r="F50" s="175">
        <f>'MEMORIA DE CALCULO'!J273</f>
        <v>9</v>
      </c>
      <c r="G50" s="173">
        <f>'COMPOSICOES SEM DESON'!G47</f>
        <v>758.9</v>
      </c>
      <c r="H50" s="173">
        <f t="shared" si="0"/>
        <v>942.55</v>
      </c>
      <c r="I50" s="173">
        <f t="shared" si="6"/>
        <v>8482.9500000000007</v>
      </c>
      <c r="J50" s="252"/>
      <c r="K50" s="152"/>
      <c r="L50" s="181"/>
    </row>
    <row r="51" spans="1:12" s="45" customFormat="1" ht="30.6" x14ac:dyDescent="0.2">
      <c r="A51" s="170" t="s">
        <v>295</v>
      </c>
      <c r="B51" s="170" t="s">
        <v>32</v>
      </c>
      <c r="C51" s="171">
        <v>103314</v>
      </c>
      <c r="D51" s="172" t="s">
        <v>296</v>
      </c>
      <c r="E51" s="170" t="s">
        <v>8</v>
      </c>
      <c r="F51" s="175">
        <f>'MEMORIA DE CALCULO'!J280</f>
        <v>81.63</v>
      </c>
      <c r="G51" s="173">
        <v>298.54000000000002</v>
      </c>
      <c r="H51" s="173">
        <f t="shared" si="0"/>
        <v>370.79</v>
      </c>
      <c r="I51" s="173">
        <f t="shared" si="6"/>
        <v>30267.58</v>
      </c>
      <c r="J51" s="252"/>
      <c r="K51" s="152"/>
      <c r="L51" s="181"/>
    </row>
    <row r="52" spans="1:12" s="45" customFormat="1" x14ac:dyDescent="0.2">
      <c r="A52" s="170" t="s">
        <v>297</v>
      </c>
      <c r="B52" s="170" t="s">
        <v>97</v>
      </c>
      <c r="C52" s="171" t="s">
        <v>298</v>
      </c>
      <c r="D52" s="172" t="s">
        <v>299</v>
      </c>
      <c r="E52" s="170" t="s">
        <v>8</v>
      </c>
      <c r="F52" s="175">
        <f>'MEMORIA DE CALCULO'!J286</f>
        <v>40.53</v>
      </c>
      <c r="G52" s="173">
        <v>126.85</v>
      </c>
      <c r="H52" s="173">
        <f t="shared" si="0"/>
        <v>157.55000000000001</v>
      </c>
      <c r="I52" s="173">
        <f t="shared" si="6"/>
        <v>6385.5</v>
      </c>
      <c r="J52" s="252"/>
      <c r="K52" s="152"/>
      <c r="L52" s="181"/>
    </row>
    <row r="53" spans="1:12" s="45" customFormat="1" ht="20.399999999999999" x14ac:dyDescent="0.2">
      <c r="A53" s="170" t="s">
        <v>312</v>
      </c>
      <c r="B53" s="170" t="s">
        <v>82</v>
      </c>
      <c r="C53" s="171" t="s">
        <v>313</v>
      </c>
      <c r="D53" s="172" t="s">
        <v>305</v>
      </c>
      <c r="E53" s="170" t="s">
        <v>269</v>
      </c>
      <c r="F53" s="175">
        <f>'MEMORIA DE CALCULO'!J291</f>
        <v>16</v>
      </c>
      <c r="G53" s="173">
        <f>COTAÇÕES!F19</f>
        <v>923.45333333333338</v>
      </c>
      <c r="H53" s="173">
        <f t="shared" si="0"/>
        <v>1146.93</v>
      </c>
      <c r="I53" s="173">
        <f t="shared" si="6"/>
        <v>18350.88</v>
      </c>
      <c r="J53" s="252"/>
      <c r="K53" s="152"/>
      <c r="L53" s="181"/>
    </row>
    <row r="54" spans="1:12" s="45" customFormat="1" ht="51" x14ac:dyDescent="0.2">
      <c r="A54" s="170" t="s">
        <v>347</v>
      </c>
      <c r="B54" s="170" t="s">
        <v>32</v>
      </c>
      <c r="C54" s="171">
        <v>102363</v>
      </c>
      <c r="D54" s="172" t="s">
        <v>348</v>
      </c>
      <c r="E54" s="170" t="s">
        <v>8</v>
      </c>
      <c r="F54" s="175">
        <f>'MEMORIA DE CALCULO'!J296</f>
        <v>105</v>
      </c>
      <c r="G54" s="173">
        <v>178.82</v>
      </c>
      <c r="H54" s="173">
        <f t="shared" si="0"/>
        <v>222.09</v>
      </c>
      <c r="I54" s="173">
        <f t="shared" si="6"/>
        <v>23319.45</v>
      </c>
      <c r="J54" s="252"/>
      <c r="K54" s="152"/>
      <c r="L54" s="181"/>
    </row>
    <row r="55" spans="1:12" x14ac:dyDescent="0.2">
      <c r="A55" s="163" t="s">
        <v>225</v>
      </c>
      <c r="B55" s="164"/>
      <c r="C55" s="165"/>
      <c r="D55" s="166" t="s">
        <v>352</v>
      </c>
      <c r="E55" s="164"/>
      <c r="F55" s="167"/>
      <c r="G55" s="167"/>
      <c r="H55" s="168"/>
      <c r="I55" s="169">
        <f>SUM(I56:I56)</f>
        <v>16469.07</v>
      </c>
      <c r="J55" s="252"/>
      <c r="K55" s="253"/>
      <c r="L55" s="155"/>
    </row>
    <row r="56" spans="1:12" ht="30.6" x14ac:dyDescent="0.2">
      <c r="A56" s="170" t="s">
        <v>226</v>
      </c>
      <c r="B56" s="170" t="s">
        <v>32</v>
      </c>
      <c r="C56" s="171">
        <v>92400</v>
      </c>
      <c r="D56" s="174" t="s">
        <v>235</v>
      </c>
      <c r="E56" s="170" t="s">
        <v>8</v>
      </c>
      <c r="F56" s="173">
        <f>'MEMORIA DE CALCULO'!J306</f>
        <v>150.42999999999998</v>
      </c>
      <c r="G56" s="173">
        <v>88.15</v>
      </c>
      <c r="H56" s="173">
        <f t="shared" si="0"/>
        <v>109.48</v>
      </c>
      <c r="I56" s="173">
        <f>TRUNC(F56*H56,2)</f>
        <v>16469.07</v>
      </c>
      <c r="J56" s="252"/>
      <c r="K56" s="253">
        <v>348100.91</v>
      </c>
      <c r="L56" s="155"/>
    </row>
    <row r="57" spans="1:12" x14ac:dyDescent="0.2">
      <c r="A57" s="163" t="s">
        <v>263</v>
      </c>
      <c r="B57" s="164"/>
      <c r="C57" s="165"/>
      <c r="D57" s="166" t="s">
        <v>270</v>
      </c>
      <c r="E57" s="164"/>
      <c r="F57" s="167"/>
      <c r="G57" s="167"/>
      <c r="H57" s="168"/>
      <c r="I57" s="169">
        <f>SUM(I58:I60)</f>
        <v>10998.5</v>
      </c>
      <c r="J57" s="252"/>
      <c r="K57" s="253"/>
      <c r="L57" s="155"/>
    </row>
    <row r="58" spans="1:12" x14ac:dyDescent="0.2">
      <c r="A58" s="170" t="s">
        <v>264</v>
      </c>
      <c r="B58" s="170" t="s">
        <v>82</v>
      </c>
      <c r="C58" s="171" t="s">
        <v>266</v>
      </c>
      <c r="D58" s="174" t="s">
        <v>267</v>
      </c>
      <c r="E58" s="170" t="s">
        <v>269</v>
      </c>
      <c r="F58" s="173">
        <f>'MEMORIA DE CALCULO'!J313</f>
        <v>1</v>
      </c>
      <c r="G58" s="173">
        <f>'COMPOSICOES SEM DESON'!G69</f>
        <v>6450</v>
      </c>
      <c r="H58" s="173">
        <f t="shared" si="0"/>
        <v>8010.9</v>
      </c>
      <c r="I58" s="173">
        <f t="shared" ref="I58:I59" si="7">TRUNC(F58*H58,2)</f>
        <v>8010.9</v>
      </c>
      <c r="J58" s="252"/>
      <c r="K58" s="253">
        <v>348100.91</v>
      </c>
      <c r="L58" s="155"/>
    </row>
    <row r="59" spans="1:12" ht="20.399999999999999" x14ac:dyDescent="0.2">
      <c r="A59" s="170" t="s">
        <v>353</v>
      </c>
      <c r="B59" s="170" t="s">
        <v>32</v>
      </c>
      <c r="C59" s="171">
        <v>103946</v>
      </c>
      <c r="D59" s="174" t="s">
        <v>354</v>
      </c>
      <c r="E59" s="170" t="s">
        <v>8</v>
      </c>
      <c r="F59" s="173">
        <f>'MEMORIA DE CALCULO'!J317</f>
        <v>100</v>
      </c>
      <c r="G59" s="173">
        <v>19.440000000000001</v>
      </c>
      <c r="H59" s="173">
        <f t="shared" si="0"/>
        <v>24.14</v>
      </c>
      <c r="I59" s="173">
        <f t="shared" si="7"/>
        <v>2414</v>
      </c>
      <c r="J59" s="252"/>
      <c r="K59" s="253"/>
      <c r="L59" s="155"/>
    </row>
    <row r="60" spans="1:12" ht="20.399999999999999" x14ac:dyDescent="0.2">
      <c r="A60" s="170" t="s">
        <v>364</v>
      </c>
      <c r="B60" s="170" t="s">
        <v>32</v>
      </c>
      <c r="C60" s="171">
        <v>98510</v>
      </c>
      <c r="D60" s="174" t="s">
        <v>365</v>
      </c>
      <c r="E60" s="170" t="s">
        <v>269</v>
      </c>
      <c r="F60" s="173">
        <f>'MEMORIA DE CALCULO'!J321</f>
        <v>4</v>
      </c>
      <c r="G60" s="173">
        <v>115.46</v>
      </c>
      <c r="H60" s="173">
        <f t="shared" si="0"/>
        <v>143.4</v>
      </c>
      <c r="I60" s="173">
        <f t="shared" ref="I60" si="8">TRUNC(F60*H60,2)</f>
        <v>573.6</v>
      </c>
      <c r="J60" s="252"/>
      <c r="K60" s="253"/>
      <c r="L60" s="155"/>
    </row>
    <row r="61" spans="1:12" x14ac:dyDescent="0.2">
      <c r="A61" s="176"/>
      <c r="B61" s="176"/>
      <c r="C61" s="177"/>
      <c r="D61" s="178"/>
      <c r="E61" s="176"/>
      <c r="F61" s="176"/>
      <c r="G61" s="176"/>
      <c r="H61" s="179" t="s">
        <v>33</v>
      </c>
      <c r="I61" s="180">
        <f>I9+I12+I17+I24+I33+I35+I37+I43+I48+I55+I57</f>
        <v>533730.97000000009</v>
      </c>
      <c r="J61" s="252"/>
      <c r="K61" s="253"/>
      <c r="L61" s="155"/>
    </row>
    <row r="62" spans="1:12" x14ac:dyDescent="0.2">
      <c r="A62" s="269"/>
      <c r="B62" s="269"/>
      <c r="C62" s="269"/>
      <c r="D62" s="270"/>
      <c r="E62" s="271"/>
      <c r="F62" s="271"/>
      <c r="G62" s="271"/>
      <c r="H62" s="271"/>
      <c r="I62" s="271"/>
      <c r="J62" s="106"/>
      <c r="K62" s="246"/>
    </row>
    <row r="63" spans="1:12" x14ac:dyDescent="0.2">
      <c r="A63" s="269"/>
      <c r="B63" s="269"/>
      <c r="C63" s="269"/>
      <c r="D63" s="270"/>
      <c r="E63" s="271"/>
      <c r="F63" s="271"/>
      <c r="G63" s="271"/>
      <c r="H63" s="271"/>
      <c r="I63" s="271"/>
    </row>
    <row r="64" spans="1:12" x14ac:dyDescent="0.2">
      <c r="A64" s="269"/>
      <c r="B64" s="269"/>
      <c r="C64" s="269"/>
      <c r="D64" s="270"/>
      <c r="E64" s="271"/>
      <c r="F64" s="271"/>
      <c r="G64" s="271"/>
      <c r="H64" s="271"/>
      <c r="I64" s="271"/>
    </row>
    <row r="65" spans="1:9" x14ac:dyDescent="0.2">
      <c r="A65" s="269"/>
      <c r="B65" s="269"/>
      <c r="C65" s="269"/>
      <c r="D65" s="102"/>
      <c r="E65" s="271"/>
      <c r="F65" s="271"/>
      <c r="G65" s="271"/>
      <c r="H65" s="271"/>
      <c r="I65" s="271"/>
    </row>
    <row r="66" spans="1:9" x14ac:dyDescent="0.2">
      <c r="A66" s="269"/>
      <c r="B66" s="269"/>
      <c r="C66" s="269"/>
      <c r="D66" s="102"/>
      <c r="E66" s="271"/>
      <c r="F66" s="271"/>
      <c r="G66" s="271"/>
      <c r="H66" s="271"/>
      <c r="I66" s="271"/>
    </row>
    <row r="67" spans="1:9" x14ac:dyDescent="0.2">
      <c r="A67" s="107"/>
      <c r="B67" s="103"/>
      <c r="C67" s="104"/>
      <c r="D67" s="105"/>
      <c r="E67" s="103"/>
      <c r="F67" s="103"/>
      <c r="G67" s="103"/>
      <c r="H67" s="103"/>
      <c r="I67" s="103"/>
    </row>
  </sheetData>
  <autoFilter ref="A8:I61" xr:uid="{00000000-0009-0000-0000-000009000000}"/>
  <mergeCells count="6">
    <mergeCell ref="A2:I2"/>
    <mergeCell ref="A1:I1"/>
    <mergeCell ref="A62:C66"/>
    <mergeCell ref="D62:D64"/>
    <mergeCell ref="E62:I66"/>
    <mergeCell ref="A3:I3"/>
  </mergeCells>
  <phoneticPr fontId="8" type="noConversion"/>
  <dataValidations disablePrompts="1" count="1">
    <dataValidation allowBlank="1" showInputMessage="1" showErrorMessage="1" promptTitle="Atenção!!!" prompt="Inserir o BDI em valor percentual." sqref="L2 L4:M4" xr:uid="{00000000-0002-0000-0900-000000000000}"/>
  </dataValidations>
  <printOptions horizontalCentered="1"/>
  <pageMargins left="0.59055118110236227" right="0.39370078740157483" top="1.2204724409448819" bottom="0.86614173228346458" header="0.39370078740157483" footer="7.874015748031496E-2"/>
  <pageSetup paperSize="9" scale="70" fitToHeight="0" orientation="portrait" horizontalDpi="360" verticalDpi="360" r:id="rId1"/>
  <headerFooter>
    <oddHeader>&amp;C&amp;G</oddHeader>
    <oddFooter>&amp;L
&amp;C&amp;G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C6C901-5E68-4DA4-81A8-9B63F86B2626}">
  <sheetPr>
    <tabColor theme="5" tint="-0.249977111117893"/>
  </sheetPr>
  <dimension ref="A1:L94"/>
  <sheetViews>
    <sheetView view="pageBreakPreview" zoomScaleNormal="100" zoomScaleSheetLayoutView="100" workbookViewId="0">
      <selection activeCell="D28" sqref="D28"/>
    </sheetView>
  </sheetViews>
  <sheetFormatPr defaultRowHeight="10.199999999999999" x14ac:dyDescent="0.2"/>
  <cols>
    <col min="1" max="1" width="12.44140625" style="44" customWidth="1"/>
    <col min="2" max="2" width="10.88671875" style="44" customWidth="1"/>
    <col min="3" max="3" width="50.44140625" style="44" customWidth="1"/>
    <col min="4" max="4" width="9.109375" style="44"/>
    <col min="5" max="5" width="11.33203125" style="44" customWidth="1"/>
    <col min="6" max="6" width="9.5546875" style="44" customWidth="1"/>
    <col min="7" max="7" width="12.88671875" style="44" bestFit="1" customWidth="1"/>
    <col min="8" max="257" width="9.109375" style="44"/>
    <col min="258" max="258" width="17.5546875" style="44" customWidth="1"/>
    <col min="259" max="259" width="47.5546875" style="44" customWidth="1"/>
    <col min="260" max="260" width="9.109375" style="44"/>
    <col min="261" max="261" width="10.33203125" style="44" customWidth="1"/>
    <col min="262" max="262" width="11.6640625" style="44" customWidth="1"/>
    <col min="263" max="263" width="15.88671875" style="44" customWidth="1"/>
    <col min="264" max="513" width="9.109375" style="44"/>
    <col min="514" max="514" width="17.5546875" style="44" customWidth="1"/>
    <col min="515" max="515" width="47.5546875" style="44" customWidth="1"/>
    <col min="516" max="516" width="9.109375" style="44"/>
    <col min="517" max="517" width="10.33203125" style="44" customWidth="1"/>
    <col min="518" max="518" width="11.6640625" style="44" customWidth="1"/>
    <col min="519" max="519" width="15.88671875" style="44" customWidth="1"/>
    <col min="520" max="769" width="9.109375" style="44"/>
    <col min="770" max="770" width="17.5546875" style="44" customWidth="1"/>
    <col min="771" max="771" width="47.5546875" style="44" customWidth="1"/>
    <col min="772" max="772" width="9.109375" style="44"/>
    <col min="773" max="773" width="10.33203125" style="44" customWidth="1"/>
    <col min="774" max="774" width="11.6640625" style="44" customWidth="1"/>
    <col min="775" max="775" width="15.88671875" style="44" customWidth="1"/>
    <col min="776" max="1025" width="9.109375" style="44"/>
    <col min="1026" max="1026" width="17.5546875" style="44" customWidth="1"/>
    <col min="1027" max="1027" width="47.5546875" style="44" customWidth="1"/>
    <col min="1028" max="1028" width="9.109375" style="44"/>
    <col min="1029" max="1029" width="10.33203125" style="44" customWidth="1"/>
    <col min="1030" max="1030" width="11.6640625" style="44" customWidth="1"/>
    <col min="1031" max="1031" width="15.88671875" style="44" customWidth="1"/>
    <col min="1032" max="1281" width="9.109375" style="44"/>
    <col min="1282" max="1282" width="17.5546875" style="44" customWidth="1"/>
    <col min="1283" max="1283" width="47.5546875" style="44" customWidth="1"/>
    <col min="1284" max="1284" width="9.109375" style="44"/>
    <col min="1285" max="1285" width="10.33203125" style="44" customWidth="1"/>
    <col min="1286" max="1286" width="11.6640625" style="44" customWidth="1"/>
    <col min="1287" max="1287" width="15.88671875" style="44" customWidth="1"/>
    <col min="1288" max="1537" width="9.109375" style="44"/>
    <col min="1538" max="1538" width="17.5546875" style="44" customWidth="1"/>
    <col min="1539" max="1539" width="47.5546875" style="44" customWidth="1"/>
    <col min="1540" max="1540" width="9.109375" style="44"/>
    <col min="1541" max="1541" width="10.33203125" style="44" customWidth="1"/>
    <col min="1542" max="1542" width="11.6640625" style="44" customWidth="1"/>
    <col min="1543" max="1543" width="15.88671875" style="44" customWidth="1"/>
    <col min="1544" max="1793" width="9.109375" style="44"/>
    <col min="1794" max="1794" width="17.5546875" style="44" customWidth="1"/>
    <col min="1795" max="1795" width="47.5546875" style="44" customWidth="1"/>
    <col min="1796" max="1796" width="9.109375" style="44"/>
    <col min="1797" max="1797" width="10.33203125" style="44" customWidth="1"/>
    <col min="1798" max="1798" width="11.6640625" style="44" customWidth="1"/>
    <col min="1799" max="1799" width="15.88671875" style="44" customWidth="1"/>
    <col min="1800" max="2049" width="9.109375" style="44"/>
    <col min="2050" max="2050" width="17.5546875" style="44" customWidth="1"/>
    <col min="2051" max="2051" width="47.5546875" style="44" customWidth="1"/>
    <col min="2052" max="2052" width="9.109375" style="44"/>
    <col min="2053" max="2053" width="10.33203125" style="44" customWidth="1"/>
    <col min="2054" max="2054" width="11.6640625" style="44" customWidth="1"/>
    <col min="2055" max="2055" width="15.88671875" style="44" customWidth="1"/>
    <col min="2056" max="2305" width="9.109375" style="44"/>
    <col min="2306" max="2306" width="17.5546875" style="44" customWidth="1"/>
    <col min="2307" max="2307" width="47.5546875" style="44" customWidth="1"/>
    <col min="2308" max="2308" width="9.109375" style="44"/>
    <col min="2309" max="2309" width="10.33203125" style="44" customWidth="1"/>
    <col min="2310" max="2310" width="11.6640625" style="44" customWidth="1"/>
    <col min="2311" max="2311" width="15.88671875" style="44" customWidth="1"/>
    <col min="2312" max="2561" width="9.109375" style="44"/>
    <col min="2562" max="2562" width="17.5546875" style="44" customWidth="1"/>
    <col min="2563" max="2563" width="47.5546875" style="44" customWidth="1"/>
    <col min="2564" max="2564" width="9.109375" style="44"/>
    <col min="2565" max="2565" width="10.33203125" style="44" customWidth="1"/>
    <col min="2566" max="2566" width="11.6640625" style="44" customWidth="1"/>
    <col min="2567" max="2567" width="15.88671875" style="44" customWidth="1"/>
    <col min="2568" max="2817" width="9.109375" style="44"/>
    <col min="2818" max="2818" width="17.5546875" style="44" customWidth="1"/>
    <col min="2819" max="2819" width="47.5546875" style="44" customWidth="1"/>
    <col min="2820" max="2820" width="9.109375" style="44"/>
    <col min="2821" max="2821" width="10.33203125" style="44" customWidth="1"/>
    <col min="2822" max="2822" width="11.6640625" style="44" customWidth="1"/>
    <col min="2823" max="2823" width="15.88671875" style="44" customWidth="1"/>
    <col min="2824" max="3073" width="9.109375" style="44"/>
    <col min="3074" max="3074" width="17.5546875" style="44" customWidth="1"/>
    <col min="3075" max="3075" width="47.5546875" style="44" customWidth="1"/>
    <col min="3076" max="3076" width="9.109375" style="44"/>
    <col min="3077" max="3077" width="10.33203125" style="44" customWidth="1"/>
    <col min="3078" max="3078" width="11.6640625" style="44" customWidth="1"/>
    <col min="3079" max="3079" width="15.88671875" style="44" customWidth="1"/>
    <col min="3080" max="3329" width="9.109375" style="44"/>
    <col min="3330" max="3330" width="17.5546875" style="44" customWidth="1"/>
    <col min="3331" max="3331" width="47.5546875" style="44" customWidth="1"/>
    <col min="3332" max="3332" width="9.109375" style="44"/>
    <col min="3333" max="3333" width="10.33203125" style="44" customWidth="1"/>
    <col min="3334" max="3334" width="11.6640625" style="44" customWidth="1"/>
    <col min="3335" max="3335" width="15.88671875" style="44" customWidth="1"/>
    <col min="3336" max="3585" width="9.109375" style="44"/>
    <col min="3586" max="3586" width="17.5546875" style="44" customWidth="1"/>
    <col min="3587" max="3587" width="47.5546875" style="44" customWidth="1"/>
    <col min="3588" max="3588" width="9.109375" style="44"/>
    <col min="3589" max="3589" width="10.33203125" style="44" customWidth="1"/>
    <col min="3590" max="3590" width="11.6640625" style="44" customWidth="1"/>
    <col min="3591" max="3591" width="15.88671875" style="44" customWidth="1"/>
    <col min="3592" max="3841" width="9.109375" style="44"/>
    <col min="3842" max="3842" width="17.5546875" style="44" customWidth="1"/>
    <col min="3843" max="3843" width="47.5546875" style="44" customWidth="1"/>
    <col min="3844" max="3844" width="9.109375" style="44"/>
    <col min="3845" max="3845" width="10.33203125" style="44" customWidth="1"/>
    <col min="3846" max="3846" width="11.6640625" style="44" customWidth="1"/>
    <col min="3847" max="3847" width="15.88671875" style="44" customWidth="1"/>
    <col min="3848" max="4097" width="9.109375" style="44"/>
    <col min="4098" max="4098" width="17.5546875" style="44" customWidth="1"/>
    <col min="4099" max="4099" width="47.5546875" style="44" customWidth="1"/>
    <col min="4100" max="4100" width="9.109375" style="44"/>
    <col min="4101" max="4101" width="10.33203125" style="44" customWidth="1"/>
    <col min="4102" max="4102" width="11.6640625" style="44" customWidth="1"/>
    <col min="4103" max="4103" width="15.88671875" style="44" customWidth="1"/>
    <col min="4104" max="4353" width="9.109375" style="44"/>
    <col min="4354" max="4354" width="17.5546875" style="44" customWidth="1"/>
    <col min="4355" max="4355" width="47.5546875" style="44" customWidth="1"/>
    <col min="4356" max="4356" width="9.109375" style="44"/>
    <col min="4357" max="4357" width="10.33203125" style="44" customWidth="1"/>
    <col min="4358" max="4358" width="11.6640625" style="44" customWidth="1"/>
    <col min="4359" max="4359" width="15.88671875" style="44" customWidth="1"/>
    <col min="4360" max="4609" width="9.109375" style="44"/>
    <col min="4610" max="4610" width="17.5546875" style="44" customWidth="1"/>
    <col min="4611" max="4611" width="47.5546875" style="44" customWidth="1"/>
    <col min="4612" max="4612" width="9.109375" style="44"/>
    <col min="4613" max="4613" width="10.33203125" style="44" customWidth="1"/>
    <col min="4614" max="4614" width="11.6640625" style="44" customWidth="1"/>
    <col min="4615" max="4615" width="15.88671875" style="44" customWidth="1"/>
    <col min="4616" max="4865" width="9.109375" style="44"/>
    <col min="4866" max="4866" width="17.5546875" style="44" customWidth="1"/>
    <col min="4867" max="4867" width="47.5546875" style="44" customWidth="1"/>
    <col min="4868" max="4868" width="9.109375" style="44"/>
    <col min="4869" max="4869" width="10.33203125" style="44" customWidth="1"/>
    <col min="4870" max="4870" width="11.6640625" style="44" customWidth="1"/>
    <col min="4871" max="4871" width="15.88671875" style="44" customWidth="1"/>
    <col min="4872" max="5121" width="9.109375" style="44"/>
    <col min="5122" max="5122" width="17.5546875" style="44" customWidth="1"/>
    <col min="5123" max="5123" width="47.5546875" style="44" customWidth="1"/>
    <col min="5124" max="5124" width="9.109375" style="44"/>
    <col min="5125" max="5125" width="10.33203125" style="44" customWidth="1"/>
    <col min="5126" max="5126" width="11.6640625" style="44" customWidth="1"/>
    <col min="5127" max="5127" width="15.88671875" style="44" customWidth="1"/>
    <col min="5128" max="5377" width="9.109375" style="44"/>
    <col min="5378" max="5378" width="17.5546875" style="44" customWidth="1"/>
    <col min="5379" max="5379" width="47.5546875" style="44" customWidth="1"/>
    <col min="5380" max="5380" width="9.109375" style="44"/>
    <col min="5381" max="5381" width="10.33203125" style="44" customWidth="1"/>
    <col min="5382" max="5382" width="11.6640625" style="44" customWidth="1"/>
    <col min="5383" max="5383" width="15.88671875" style="44" customWidth="1"/>
    <col min="5384" max="5633" width="9.109375" style="44"/>
    <col min="5634" max="5634" width="17.5546875" style="44" customWidth="1"/>
    <col min="5635" max="5635" width="47.5546875" style="44" customWidth="1"/>
    <col min="5636" max="5636" width="9.109375" style="44"/>
    <col min="5637" max="5637" width="10.33203125" style="44" customWidth="1"/>
    <col min="5638" max="5638" width="11.6640625" style="44" customWidth="1"/>
    <col min="5639" max="5639" width="15.88671875" style="44" customWidth="1"/>
    <col min="5640" max="5889" width="9.109375" style="44"/>
    <col min="5890" max="5890" width="17.5546875" style="44" customWidth="1"/>
    <col min="5891" max="5891" width="47.5546875" style="44" customWidth="1"/>
    <col min="5892" max="5892" width="9.109375" style="44"/>
    <col min="5893" max="5893" width="10.33203125" style="44" customWidth="1"/>
    <col min="5894" max="5894" width="11.6640625" style="44" customWidth="1"/>
    <col min="5895" max="5895" width="15.88671875" style="44" customWidth="1"/>
    <col min="5896" max="6145" width="9.109375" style="44"/>
    <col min="6146" max="6146" width="17.5546875" style="44" customWidth="1"/>
    <col min="6147" max="6147" width="47.5546875" style="44" customWidth="1"/>
    <col min="6148" max="6148" width="9.109375" style="44"/>
    <col min="6149" max="6149" width="10.33203125" style="44" customWidth="1"/>
    <col min="6150" max="6150" width="11.6640625" style="44" customWidth="1"/>
    <col min="6151" max="6151" width="15.88671875" style="44" customWidth="1"/>
    <col min="6152" max="6401" width="9.109375" style="44"/>
    <col min="6402" max="6402" width="17.5546875" style="44" customWidth="1"/>
    <col min="6403" max="6403" width="47.5546875" style="44" customWidth="1"/>
    <col min="6404" max="6404" width="9.109375" style="44"/>
    <col min="6405" max="6405" width="10.33203125" style="44" customWidth="1"/>
    <col min="6406" max="6406" width="11.6640625" style="44" customWidth="1"/>
    <col min="6407" max="6407" width="15.88671875" style="44" customWidth="1"/>
    <col min="6408" max="6657" width="9.109375" style="44"/>
    <col min="6658" max="6658" width="17.5546875" style="44" customWidth="1"/>
    <col min="6659" max="6659" width="47.5546875" style="44" customWidth="1"/>
    <col min="6660" max="6660" width="9.109375" style="44"/>
    <col min="6661" max="6661" width="10.33203125" style="44" customWidth="1"/>
    <col min="6662" max="6662" width="11.6640625" style="44" customWidth="1"/>
    <col min="6663" max="6663" width="15.88671875" style="44" customWidth="1"/>
    <col min="6664" max="6913" width="9.109375" style="44"/>
    <col min="6914" max="6914" width="17.5546875" style="44" customWidth="1"/>
    <col min="6915" max="6915" width="47.5546875" style="44" customWidth="1"/>
    <col min="6916" max="6916" width="9.109375" style="44"/>
    <col min="6917" max="6917" width="10.33203125" style="44" customWidth="1"/>
    <col min="6918" max="6918" width="11.6640625" style="44" customWidth="1"/>
    <col min="6919" max="6919" width="15.88671875" style="44" customWidth="1"/>
    <col min="6920" max="7169" width="9.109375" style="44"/>
    <col min="7170" max="7170" width="17.5546875" style="44" customWidth="1"/>
    <col min="7171" max="7171" width="47.5546875" style="44" customWidth="1"/>
    <col min="7172" max="7172" width="9.109375" style="44"/>
    <col min="7173" max="7173" width="10.33203125" style="44" customWidth="1"/>
    <col min="7174" max="7174" width="11.6640625" style="44" customWidth="1"/>
    <col min="7175" max="7175" width="15.88671875" style="44" customWidth="1"/>
    <col min="7176" max="7425" width="9.109375" style="44"/>
    <col min="7426" max="7426" width="17.5546875" style="44" customWidth="1"/>
    <col min="7427" max="7427" width="47.5546875" style="44" customWidth="1"/>
    <col min="7428" max="7428" width="9.109375" style="44"/>
    <col min="7429" max="7429" width="10.33203125" style="44" customWidth="1"/>
    <col min="7430" max="7430" width="11.6640625" style="44" customWidth="1"/>
    <col min="7431" max="7431" width="15.88671875" style="44" customWidth="1"/>
    <col min="7432" max="7681" width="9.109375" style="44"/>
    <col min="7682" max="7682" width="17.5546875" style="44" customWidth="1"/>
    <col min="7683" max="7683" width="47.5546875" style="44" customWidth="1"/>
    <col min="7684" max="7684" width="9.109375" style="44"/>
    <col min="7685" max="7685" width="10.33203125" style="44" customWidth="1"/>
    <col min="7686" max="7686" width="11.6640625" style="44" customWidth="1"/>
    <col min="7687" max="7687" width="15.88671875" style="44" customWidth="1"/>
    <col min="7688" max="7937" width="9.109375" style="44"/>
    <col min="7938" max="7938" width="17.5546875" style="44" customWidth="1"/>
    <col min="7939" max="7939" width="47.5546875" style="44" customWidth="1"/>
    <col min="7940" max="7940" width="9.109375" style="44"/>
    <col min="7941" max="7941" width="10.33203125" style="44" customWidth="1"/>
    <col min="7942" max="7942" width="11.6640625" style="44" customWidth="1"/>
    <col min="7943" max="7943" width="15.88671875" style="44" customWidth="1"/>
    <col min="7944" max="8193" width="9.109375" style="44"/>
    <col min="8194" max="8194" width="17.5546875" style="44" customWidth="1"/>
    <col min="8195" max="8195" width="47.5546875" style="44" customWidth="1"/>
    <col min="8196" max="8196" width="9.109375" style="44"/>
    <col min="8197" max="8197" width="10.33203125" style="44" customWidth="1"/>
    <col min="8198" max="8198" width="11.6640625" style="44" customWidth="1"/>
    <col min="8199" max="8199" width="15.88671875" style="44" customWidth="1"/>
    <col min="8200" max="8449" width="9.109375" style="44"/>
    <col min="8450" max="8450" width="17.5546875" style="44" customWidth="1"/>
    <col min="8451" max="8451" width="47.5546875" style="44" customWidth="1"/>
    <col min="8452" max="8452" width="9.109375" style="44"/>
    <col min="8453" max="8453" width="10.33203125" style="44" customWidth="1"/>
    <col min="8454" max="8454" width="11.6640625" style="44" customWidth="1"/>
    <col min="8455" max="8455" width="15.88671875" style="44" customWidth="1"/>
    <col min="8456" max="8705" width="9.109375" style="44"/>
    <col min="8706" max="8706" width="17.5546875" style="44" customWidth="1"/>
    <col min="8707" max="8707" width="47.5546875" style="44" customWidth="1"/>
    <col min="8708" max="8708" width="9.109375" style="44"/>
    <col min="8709" max="8709" width="10.33203125" style="44" customWidth="1"/>
    <col min="8710" max="8710" width="11.6640625" style="44" customWidth="1"/>
    <col min="8711" max="8711" width="15.88671875" style="44" customWidth="1"/>
    <col min="8712" max="8961" width="9.109375" style="44"/>
    <col min="8962" max="8962" width="17.5546875" style="44" customWidth="1"/>
    <col min="8963" max="8963" width="47.5546875" style="44" customWidth="1"/>
    <col min="8964" max="8964" width="9.109375" style="44"/>
    <col min="8965" max="8965" width="10.33203125" style="44" customWidth="1"/>
    <col min="8966" max="8966" width="11.6640625" style="44" customWidth="1"/>
    <col min="8967" max="8967" width="15.88671875" style="44" customWidth="1"/>
    <col min="8968" max="9217" width="9.109375" style="44"/>
    <col min="9218" max="9218" width="17.5546875" style="44" customWidth="1"/>
    <col min="9219" max="9219" width="47.5546875" style="44" customWidth="1"/>
    <col min="9220" max="9220" width="9.109375" style="44"/>
    <col min="9221" max="9221" width="10.33203125" style="44" customWidth="1"/>
    <col min="9222" max="9222" width="11.6640625" style="44" customWidth="1"/>
    <col min="9223" max="9223" width="15.88671875" style="44" customWidth="1"/>
    <col min="9224" max="9473" width="9.109375" style="44"/>
    <col min="9474" max="9474" width="17.5546875" style="44" customWidth="1"/>
    <col min="9475" max="9475" width="47.5546875" style="44" customWidth="1"/>
    <col min="9476" max="9476" width="9.109375" style="44"/>
    <col min="9477" max="9477" width="10.33203125" style="44" customWidth="1"/>
    <col min="9478" max="9478" width="11.6640625" style="44" customWidth="1"/>
    <col min="9479" max="9479" width="15.88671875" style="44" customWidth="1"/>
    <col min="9480" max="9729" width="9.109375" style="44"/>
    <col min="9730" max="9730" width="17.5546875" style="44" customWidth="1"/>
    <col min="9731" max="9731" width="47.5546875" style="44" customWidth="1"/>
    <col min="9732" max="9732" width="9.109375" style="44"/>
    <col min="9733" max="9733" width="10.33203125" style="44" customWidth="1"/>
    <col min="9734" max="9734" width="11.6640625" style="44" customWidth="1"/>
    <col min="9735" max="9735" width="15.88671875" style="44" customWidth="1"/>
    <col min="9736" max="9985" width="9.109375" style="44"/>
    <col min="9986" max="9986" width="17.5546875" style="44" customWidth="1"/>
    <col min="9987" max="9987" width="47.5546875" style="44" customWidth="1"/>
    <col min="9988" max="9988" width="9.109375" style="44"/>
    <col min="9989" max="9989" width="10.33203125" style="44" customWidth="1"/>
    <col min="9990" max="9990" width="11.6640625" style="44" customWidth="1"/>
    <col min="9991" max="9991" width="15.88671875" style="44" customWidth="1"/>
    <col min="9992" max="10241" width="9.109375" style="44"/>
    <col min="10242" max="10242" width="17.5546875" style="44" customWidth="1"/>
    <col min="10243" max="10243" width="47.5546875" style="44" customWidth="1"/>
    <col min="10244" max="10244" width="9.109375" style="44"/>
    <col min="10245" max="10245" width="10.33203125" style="44" customWidth="1"/>
    <col min="10246" max="10246" width="11.6640625" style="44" customWidth="1"/>
    <col min="10247" max="10247" width="15.88671875" style="44" customWidth="1"/>
    <col min="10248" max="10497" width="9.109375" style="44"/>
    <col min="10498" max="10498" width="17.5546875" style="44" customWidth="1"/>
    <col min="10499" max="10499" width="47.5546875" style="44" customWidth="1"/>
    <col min="10500" max="10500" width="9.109375" style="44"/>
    <col min="10501" max="10501" width="10.33203125" style="44" customWidth="1"/>
    <col min="10502" max="10502" width="11.6640625" style="44" customWidth="1"/>
    <col min="10503" max="10503" width="15.88671875" style="44" customWidth="1"/>
    <col min="10504" max="10753" width="9.109375" style="44"/>
    <col min="10754" max="10754" width="17.5546875" style="44" customWidth="1"/>
    <col min="10755" max="10755" width="47.5546875" style="44" customWidth="1"/>
    <col min="10756" max="10756" width="9.109375" style="44"/>
    <col min="10757" max="10757" width="10.33203125" style="44" customWidth="1"/>
    <col min="10758" max="10758" width="11.6640625" style="44" customWidth="1"/>
    <col min="10759" max="10759" width="15.88671875" style="44" customWidth="1"/>
    <col min="10760" max="11009" width="9.109375" style="44"/>
    <col min="11010" max="11010" width="17.5546875" style="44" customWidth="1"/>
    <col min="11011" max="11011" width="47.5546875" style="44" customWidth="1"/>
    <col min="11012" max="11012" width="9.109375" style="44"/>
    <col min="11013" max="11013" width="10.33203125" style="44" customWidth="1"/>
    <col min="11014" max="11014" width="11.6640625" style="44" customWidth="1"/>
    <col min="11015" max="11015" width="15.88671875" style="44" customWidth="1"/>
    <col min="11016" max="11265" width="9.109375" style="44"/>
    <col min="11266" max="11266" width="17.5546875" style="44" customWidth="1"/>
    <col min="11267" max="11267" width="47.5546875" style="44" customWidth="1"/>
    <col min="11268" max="11268" width="9.109375" style="44"/>
    <col min="11269" max="11269" width="10.33203125" style="44" customWidth="1"/>
    <col min="11270" max="11270" width="11.6640625" style="44" customWidth="1"/>
    <col min="11271" max="11271" width="15.88671875" style="44" customWidth="1"/>
    <col min="11272" max="11521" width="9.109375" style="44"/>
    <col min="11522" max="11522" width="17.5546875" style="44" customWidth="1"/>
    <col min="11523" max="11523" width="47.5546875" style="44" customWidth="1"/>
    <col min="11524" max="11524" width="9.109375" style="44"/>
    <col min="11525" max="11525" width="10.33203125" style="44" customWidth="1"/>
    <col min="11526" max="11526" width="11.6640625" style="44" customWidth="1"/>
    <col min="11527" max="11527" width="15.88671875" style="44" customWidth="1"/>
    <col min="11528" max="11777" width="9.109375" style="44"/>
    <col min="11778" max="11778" width="17.5546875" style="44" customWidth="1"/>
    <col min="11779" max="11779" width="47.5546875" style="44" customWidth="1"/>
    <col min="11780" max="11780" width="9.109375" style="44"/>
    <col min="11781" max="11781" width="10.33203125" style="44" customWidth="1"/>
    <col min="11782" max="11782" width="11.6640625" style="44" customWidth="1"/>
    <col min="11783" max="11783" width="15.88671875" style="44" customWidth="1"/>
    <col min="11784" max="12033" width="9.109375" style="44"/>
    <col min="12034" max="12034" width="17.5546875" style="44" customWidth="1"/>
    <col min="12035" max="12035" width="47.5546875" style="44" customWidth="1"/>
    <col min="12036" max="12036" width="9.109375" style="44"/>
    <col min="12037" max="12037" width="10.33203125" style="44" customWidth="1"/>
    <col min="12038" max="12038" width="11.6640625" style="44" customWidth="1"/>
    <col min="12039" max="12039" width="15.88671875" style="44" customWidth="1"/>
    <col min="12040" max="12289" width="9.109375" style="44"/>
    <col min="12290" max="12290" width="17.5546875" style="44" customWidth="1"/>
    <col min="12291" max="12291" width="47.5546875" style="44" customWidth="1"/>
    <col min="12292" max="12292" width="9.109375" style="44"/>
    <col min="12293" max="12293" width="10.33203125" style="44" customWidth="1"/>
    <col min="12294" max="12294" width="11.6640625" style="44" customWidth="1"/>
    <col min="12295" max="12295" width="15.88671875" style="44" customWidth="1"/>
    <col min="12296" max="12545" width="9.109375" style="44"/>
    <col min="12546" max="12546" width="17.5546875" style="44" customWidth="1"/>
    <col min="12547" max="12547" width="47.5546875" style="44" customWidth="1"/>
    <col min="12548" max="12548" width="9.109375" style="44"/>
    <col min="12549" max="12549" width="10.33203125" style="44" customWidth="1"/>
    <col min="12550" max="12550" width="11.6640625" style="44" customWidth="1"/>
    <col min="12551" max="12551" width="15.88671875" style="44" customWidth="1"/>
    <col min="12552" max="12801" width="9.109375" style="44"/>
    <col min="12802" max="12802" width="17.5546875" style="44" customWidth="1"/>
    <col min="12803" max="12803" width="47.5546875" style="44" customWidth="1"/>
    <col min="12804" max="12804" width="9.109375" style="44"/>
    <col min="12805" max="12805" width="10.33203125" style="44" customWidth="1"/>
    <col min="12806" max="12806" width="11.6640625" style="44" customWidth="1"/>
    <col min="12807" max="12807" width="15.88671875" style="44" customWidth="1"/>
    <col min="12808" max="13057" width="9.109375" style="44"/>
    <col min="13058" max="13058" width="17.5546875" style="44" customWidth="1"/>
    <col min="13059" max="13059" width="47.5546875" style="44" customWidth="1"/>
    <col min="13060" max="13060" width="9.109375" style="44"/>
    <col min="13061" max="13061" width="10.33203125" style="44" customWidth="1"/>
    <col min="13062" max="13062" width="11.6640625" style="44" customWidth="1"/>
    <col min="13063" max="13063" width="15.88671875" style="44" customWidth="1"/>
    <col min="13064" max="13313" width="9.109375" style="44"/>
    <col min="13314" max="13314" width="17.5546875" style="44" customWidth="1"/>
    <col min="13315" max="13315" width="47.5546875" style="44" customWidth="1"/>
    <col min="13316" max="13316" width="9.109375" style="44"/>
    <col min="13317" max="13317" width="10.33203125" style="44" customWidth="1"/>
    <col min="13318" max="13318" width="11.6640625" style="44" customWidth="1"/>
    <col min="13319" max="13319" width="15.88671875" style="44" customWidth="1"/>
    <col min="13320" max="13569" width="9.109375" style="44"/>
    <col min="13570" max="13570" width="17.5546875" style="44" customWidth="1"/>
    <col min="13571" max="13571" width="47.5546875" style="44" customWidth="1"/>
    <col min="13572" max="13572" width="9.109375" style="44"/>
    <col min="13573" max="13573" width="10.33203125" style="44" customWidth="1"/>
    <col min="13574" max="13574" width="11.6640625" style="44" customWidth="1"/>
    <col min="13575" max="13575" width="15.88671875" style="44" customWidth="1"/>
    <col min="13576" max="13825" width="9.109375" style="44"/>
    <col min="13826" max="13826" width="17.5546875" style="44" customWidth="1"/>
    <col min="13827" max="13827" width="47.5546875" style="44" customWidth="1"/>
    <col min="13828" max="13828" width="9.109375" style="44"/>
    <col min="13829" max="13829" width="10.33203125" style="44" customWidth="1"/>
    <col min="13830" max="13830" width="11.6640625" style="44" customWidth="1"/>
    <col min="13831" max="13831" width="15.88671875" style="44" customWidth="1"/>
    <col min="13832" max="14081" width="9.109375" style="44"/>
    <col min="14082" max="14082" width="17.5546875" style="44" customWidth="1"/>
    <col min="14083" max="14083" width="47.5546875" style="44" customWidth="1"/>
    <col min="14084" max="14084" width="9.109375" style="44"/>
    <col min="14085" max="14085" width="10.33203125" style="44" customWidth="1"/>
    <col min="14086" max="14086" width="11.6640625" style="44" customWidth="1"/>
    <col min="14087" max="14087" width="15.88671875" style="44" customWidth="1"/>
    <col min="14088" max="14337" width="9.109375" style="44"/>
    <col min="14338" max="14338" width="17.5546875" style="44" customWidth="1"/>
    <col min="14339" max="14339" width="47.5546875" style="44" customWidth="1"/>
    <col min="14340" max="14340" width="9.109375" style="44"/>
    <col min="14341" max="14341" width="10.33203125" style="44" customWidth="1"/>
    <col min="14342" max="14342" width="11.6640625" style="44" customWidth="1"/>
    <col min="14343" max="14343" width="15.88671875" style="44" customWidth="1"/>
    <col min="14344" max="14593" width="9.109375" style="44"/>
    <col min="14594" max="14594" width="17.5546875" style="44" customWidth="1"/>
    <col min="14595" max="14595" width="47.5546875" style="44" customWidth="1"/>
    <col min="14596" max="14596" width="9.109375" style="44"/>
    <col min="14597" max="14597" width="10.33203125" style="44" customWidth="1"/>
    <col min="14598" max="14598" width="11.6640625" style="44" customWidth="1"/>
    <col min="14599" max="14599" width="15.88671875" style="44" customWidth="1"/>
    <col min="14600" max="14849" width="9.109375" style="44"/>
    <col min="14850" max="14850" width="17.5546875" style="44" customWidth="1"/>
    <col min="14851" max="14851" width="47.5546875" style="44" customWidth="1"/>
    <col min="14852" max="14852" width="9.109375" style="44"/>
    <col min="14853" max="14853" width="10.33203125" style="44" customWidth="1"/>
    <col min="14854" max="14854" width="11.6640625" style="44" customWidth="1"/>
    <col min="14855" max="14855" width="15.88671875" style="44" customWidth="1"/>
    <col min="14856" max="15105" width="9.109375" style="44"/>
    <col min="15106" max="15106" width="17.5546875" style="44" customWidth="1"/>
    <col min="15107" max="15107" width="47.5546875" style="44" customWidth="1"/>
    <col min="15108" max="15108" width="9.109375" style="44"/>
    <col min="15109" max="15109" width="10.33203125" style="44" customWidth="1"/>
    <col min="15110" max="15110" width="11.6640625" style="44" customWidth="1"/>
    <col min="15111" max="15111" width="15.88671875" style="44" customWidth="1"/>
    <col min="15112" max="15361" width="9.109375" style="44"/>
    <col min="15362" max="15362" width="17.5546875" style="44" customWidth="1"/>
    <col min="15363" max="15363" width="47.5546875" style="44" customWidth="1"/>
    <col min="15364" max="15364" width="9.109375" style="44"/>
    <col min="15365" max="15365" width="10.33203125" style="44" customWidth="1"/>
    <col min="15366" max="15366" width="11.6640625" style="44" customWidth="1"/>
    <col min="15367" max="15367" width="15.88671875" style="44" customWidth="1"/>
    <col min="15368" max="15617" width="9.109375" style="44"/>
    <col min="15618" max="15618" width="17.5546875" style="44" customWidth="1"/>
    <col min="15619" max="15619" width="47.5546875" style="44" customWidth="1"/>
    <col min="15620" max="15620" width="9.109375" style="44"/>
    <col min="15621" max="15621" width="10.33203125" style="44" customWidth="1"/>
    <col min="15622" max="15622" width="11.6640625" style="44" customWidth="1"/>
    <col min="15623" max="15623" width="15.88671875" style="44" customWidth="1"/>
    <col min="15624" max="15873" width="9.109375" style="44"/>
    <col min="15874" max="15874" width="17.5546875" style="44" customWidth="1"/>
    <col min="15875" max="15875" width="47.5546875" style="44" customWidth="1"/>
    <col min="15876" max="15876" width="9.109375" style="44"/>
    <col min="15877" max="15877" width="10.33203125" style="44" customWidth="1"/>
    <col min="15878" max="15878" width="11.6640625" style="44" customWidth="1"/>
    <col min="15879" max="15879" width="15.88671875" style="44" customWidth="1"/>
    <col min="15880" max="16129" width="9.109375" style="44"/>
    <col min="16130" max="16130" width="17.5546875" style="44" customWidth="1"/>
    <col min="16131" max="16131" width="47.5546875" style="44" customWidth="1"/>
    <col min="16132" max="16132" width="9.109375" style="44"/>
    <col min="16133" max="16133" width="10.33203125" style="44" customWidth="1"/>
    <col min="16134" max="16134" width="11.6640625" style="44" customWidth="1"/>
    <col min="16135" max="16135" width="15.88671875" style="44" customWidth="1"/>
    <col min="16136" max="16384" width="9.109375" style="44"/>
  </cols>
  <sheetData>
    <row r="1" spans="1:7" ht="10.8" thickBot="1" x14ac:dyDescent="0.25"/>
    <row r="2" spans="1:7" ht="20.399999999999999" thickBot="1" x14ac:dyDescent="0.45">
      <c r="A2" s="286" t="s">
        <v>27</v>
      </c>
      <c r="B2" s="287"/>
      <c r="C2" s="287"/>
      <c r="D2" s="287"/>
      <c r="E2" s="287"/>
      <c r="F2" s="287"/>
      <c r="G2" s="288"/>
    </row>
    <row r="3" spans="1:7" ht="15" thickBot="1" x14ac:dyDescent="0.35">
      <c r="A3" s="3"/>
      <c r="B3" s="3"/>
      <c r="C3" s="3"/>
      <c r="D3" s="3"/>
      <c r="E3" s="3"/>
      <c r="F3" s="3"/>
      <c r="G3" s="3"/>
    </row>
    <row r="4" spans="1:7" ht="23.4" customHeight="1" thickBot="1" x14ac:dyDescent="0.25">
      <c r="A4" s="289" t="str">
        <f>'MEMORIA DE CALCULO'!A1:J1</f>
        <v>RECONSTRUÇÃO DO MURO E SERVIÇOS COMPLEMENTARES DA ESCOLA OTAVIANO BASÍLIO HERÁCLIO DO RÊGO</v>
      </c>
      <c r="B4" s="290" t="e">
        <f>'[3](GERAL - SINAPI COM DESON)'!B6</f>
        <v>#REF!</v>
      </c>
      <c r="C4" s="291"/>
      <c r="D4" s="291"/>
      <c r="E4" s="291"/>
      <c r="F4" s="291"/>
      <c r="G4" s="292"/>
    </row>
    <row r="5" spans="1:7" ht="23.4" customHeight="1" x14ac:dyDescent="0.2">
      <c r="A5" s="289" t="str">
        <f>'ORÇAMENTO SEM DESON'!A4</f>
        <v>LOCALIZAÇÃO: LIMOEIRO - PE</v>
      </c>
      <c r="B5" s="290" t="e">
        <f>'[3](GERAL - SINAPI COM DESON)'!B7</f>
        <v>#REF!</v>
      </c>
      <c r="C5" s="291"/>
      <c r="D5" s="291"/>
      <c r="E5" s="291"/>
      <c r="F5" s="291"/>
      <c r="G5" s="292"/>
    </row>
    <row r="6" spans="1:7" ht="15" customHeight="1" x14ac:dyDescent="0.2">
      <c r="A6" s="293" t="str">
        <f>'ORÇAMENTO SEM DESON'!A5</f>
        <v>FONTES DE PREÇOS: SINAPI JUNHO-2023 -  SEINFRA 027 MARÇO/2021 - SEM DESONERAÇÃO (BDI = 24,20%)</v>
      </c>
      <c r="B6" s="294"/>
      <c r="C6" s="294"/>
      <c r="D6" s="294"/>
      <c r="E6" s="294"/>
      <c r="F6" s="294"/>
      <c r="G6" s="295"/>
    </row>
    <row r="7" spans="1:7" ht="15" customHeight="1" x14ac:dyDescent="0.2">
      <c r="A7" s="293" t="str">
        <f>'ORÇAMENTO SEM DESON'!A6</f>
        <v>DATA: JULHO/2023</v>
      </c>
      <c r="B7" s="294"/>
      <c r="C7" s="294"/>
      <c r="D7" s="294"/>
      <c r="E7" s="294"/>
      <c r="F7" s="294"/>
      <c r="G7" s="295"/>
    </row>
    <row r="8" spans="1:7" ht="15.75" customHeight="1" thickBot="1" x14ac:dyDescent="0.25">
      <c r="A8" s="283"/>
      <c r="B8" s="284"/>
      <c r="C8" s="284"/>
      <c r="D8" s="284"/>
      <c r="E8" s="284"/>
      <c r="F8" s="284"/>
      <c r="G8" s="285"/>
    </row>
    <row r="10" spans="1:7" s="4" customFormat="1" ht="11.25" customHeight="1" x14ac:dyDescent="0.2">
      <c r="A10" s="276" t="s">
        <v>83</v>
      </c>
      <c r="B10" s="276"/>
      <c r="C10" s="145"/>
      <c r="D10" s="277"/>
      <c r="E10" s="278"/>
      <c r="F10" s="278"/>
      <c r="G10" s="279"/>
    </row>
    <row r="11" spans="1:7" s="4" customFormat="1" ht="51.6" customHeight="1" x14ac:dyDescent="0.2">
      <c r="A11" s="276"/>
      <c r="B11" s="276"/>
      <c r="C11" s="145" t="s">
        <v>23</v>
      </c>
      <c r="D11" s="280" t="s">
        <v>236</v>
      </c>
      <c r="E11" s="280"/>
      <c r="F11" s="280"/>
      <c r="G11" s="280"/>
    </row>
    <row r="12" spans="1:7" s="4" customFormat="1" ht="11.25" customHeight="1" x14ac:dyDescent="0.2">
      <c r="A12" s="276"/>
      <c r="B12" s="276"/>
      <c r="C12" s="145" t="s">
        <v>24</v>
      </c>
      <c r="D12" s="146" t="s">
        <v>8</v>
      </c>
      <c r="E12" s="281" t="s">
        <v>25</v>
      </c>
      <c r="F12" s="281"/>
      <c r="G12" s="282">
        <f>G20</f>
        <v>286.18</v>
      </c>
    </row>
    <row r="13" spans="1:7" s="4" customFormat="1" x14ac:dyDescent="0.2">
      <c r="A13" s="276"/>
      <c r="B13" s="276"/>
      <c r="C13" s="145" t="s">
        <v>22</v>
      </c>
      <c r="D13" s="146">
        <v>1</v>
      </c>
      <c r="E13" s="281"/>
      <c r="F13" s="281"/>
      <c r="G13" s="282"/>
    </row>
    <row r="14" spans="1:7" s="4" customFormat="1" x14ac:dyDescent="0.2">
      <c r="A14" s="147"/>
      <c r="B14" s="147"/>
      <c r="C14" s="148"/>
      <c r="D14" s="148"/>
      <c r="E14" s="275"/>
      <c r="F14" s="275"/>
      <c r="G14" s="144"/>
    </row>
    <row r="15" spans="1:7" s="4" customFormat="1" ht="21.75" customHeight="1" x14ac:dyDescent="0.2">
      <c r="A15" s="149" t="s">
        <v>88</v>
      </c>
      <c r="B15" s="149" t="s">
        <v>89</v>
      </c>
      <c r="C15" s="150" t="s">
        <v>26</v>
      </c>
      <c r="D15" s="150" t="s">
        <v>24</v>
      </c>
      <c r="E15" s="151" t="s">
        <v>90</v>
      </c>
      <c r="F15" s="151" t="s">
        <v>91</v>
      </c>
      <c r="G15" s="151" t="s">
        <v>92</v>
      </c>
    </row>
    <row r="16" spans="1:7" s="4" customFormat="1" ht="30.6" x14ac:dyDescent="0.2">
      <c r="A16" s="139" t="s">
        <v>239</v>
      </c>
      <c r="B16" s="139" t="s">
        <v>238</v>
      </c>
      <c r="C16" s="140" t="s">
        <v>237</v>
      </c>
      <c r="D16" s="141" t="s">
        <v>8</v>
      </c>
      <c r="E16" s="142">
        <v>1</v>
      </c>
      <c r="F16" s="143">
        <v>160</v>
      </c>
      <c r="G16" s="144">
        <f>E16*F16</f>
        <v>160</v>
      </c>
    </row>
    <row r="17" spans="1:8" s="4" customFormat="1" x14ac:dyDescent="0.2">
      <c r="A17" s="139" t="s">
        <v>97</v>
      </c>
      <c r="B17" s="139" t="s">
        <v>240</v>
      </c>
      <c r="C17" s="140" t="s">
        <v>241</v>
      </c>
      <c r="D17" s="141" t="s">
        <v>140</v>
      </c>
      <c r="E17" s="142">
        <v>3</v>
      </c>
      <c r="F17" s="143">
        <v>23.17</v>
      </c>
      <c r="G17" s="144">
        <f>E17*F17</f>
        <v>69.510000000000005</v>
      </c>
    </row>
    <row r="18" spans="1:8" s="4" customFormat="1" x14ac:dyDescent="0.2">
      <c r="A18" s="139" t="s">
        <v>97</v>
      </c>
      <c r="B18" s="139" t="s">
        <v>242</v>
      </c>
      <c r="C18" s="140" t="s">
        <v>243</v>
      </c>
      <c r="D18" s="141" t="s">
        <v>140</v>
      </c>
      <c r="E18" s="142">
        <v>3</v>
      </c>
      <c r="F18" s="143">
        <v>17.14</v>
      </c>
      <c r="G18" s="144">
        <f>E18*F18</f>
        <v>51.42</v>
      </c>
    </row>
    <row r="19" spans="1:8" s="4" customFormat="1" x14ac:dyDescent="0.2">
      <c r="A19" s="139" t="s">
        <v>97</v>
      </c>
      <c r="B19" s="139" t="s">
        <v>244</v>
      </c>
      <c r="C19" s="140" t="s">
        <v>245</v>
      </c>
      <c r="D19" s="141" t="s">
        <v>18</v>
      </c>
      <c r="E19" s="142">
        <v>0.01</v>
      </c>
      <c r="F19" s="143">
        <v>525.64</v>
      </c>
      <c r="G19" s="144">
        <f>E19*F19</f>
        <v>5.2564000000000002</v>
      </c>
    </row>
    <row r="20" spans="1:8" s="4" customFormat="1" x14ac:dyDescent="0.2">
      <c r="A20" s="152"/>
      <c r="B20" s="152"/>
      <c r="C20" s="153"/>
      <c r="D20" s="152"/>
      <c r="E20" s="152"/>
      <c r="F20" s="154" t="s">
        <v>17</v>
      </c>
      <c r="G20" s="150">
        <f>TRUNC(SUM(G16:G19),2)</f>
        <v>286.18</v>
      </c>
      <c r="H20" s="4" t="s">
        <v>93</v>
      </c>
    </row>
    <row r="21" spans="1:8" s="4" customFormat="1" x14ac:dyDescent="0.2">
      <c r="A21" s="152"/>
      <c r="B21" s="152"/>
      <c r="C21" s="152"/>
      <c r="D21" s="152"/>
      <c r="E21" s="152"/>
      <c r="F21" s="152"/>
      <c r="G21" s="152"/>
    </row>
    <row r="22" spans="1:8" x14ac:dyDescent="0.2">
      <c r="A22" s="152" t="s">
        <v>246</v>
      </c>
    </row>
    <row r="23" spans="1:8" s="4" customFormat="1" ht="11.25" customHeight="1" x14ac:dyDescent="0.2">
      <c r="A23" s="276" t="s">
        <v>94</v>
      </c>
      <c r="B23" s="276"/>
      <c r="C23" s="145"/>
      <c r="D23" s="277"/>
      <c r="E23" s="278"/>
      <c r="F23" s="278"/>
      <c r="G23" s="279"/>
    </row>
    <row r="24" spans="1:8" s="4" customFormat="1" ht="51.6" customHeight="1" x14ac:dyDescent="0.2">
      <c r="A24" s="276"/>
      <c r="B24" s="276"/>
      <c r="C24" s="145" t="s">
        <v>23</v>
      </c>
      <c r="D24" s="280" t="s">
        <v>149</v>
      </c>
      <c r="E24" s="280"/>
      <c r="F24" s="280"/>
      <c r="G24" s="280"/>
    </row>
    <row r="25" spans="1:8" s="4" customFormat="1" ht="11.25" customHeight="1" x14ac:dyDescent="0.2">
      <c r="A25" s="276"/>
      <c r="B25" s="276"/>
      <c r="C25" s="145" t="s">
        <v>24</v>
      </c>
      <c r="D25" s="146" t="s">
        <v>8</v>
      </c>
      <c r="E25" s="281" t="s">
        <v>25</v>
      </c>
      <c r="F25" s="281"/>
      <c r="G25" s="282">
        <f>G34</f>
        <v>116.32</v>
      </c>
    </row>
    <row r="26" spans="1:8" s="4" customFormat="1" x14ac:dyDescent="0.2">
      <c r="A26" s="276"/>
      <c r="B26" s="276"/>
      <c r="C26" s="145" t="s">
        <v>22</v>
      </c>
      <c r="D26" s="146">
        <v>1</v>
      </c>
      <c r="E26" s="281"/>
      <c r="F26" s="281"/>
      <c r="G26" s="282"/>
    </row>
    <row r="27" spans="1:8" s="4" customFormat="1" x14ac:dyDescent="0.2">
      <c r="A27" s="147"/>
      <c r="B27" s="147"/>
      <c r="C27" s="148"/>
      <c r="D27" s="148"/>
      <c r="E27" s="275"/>
      <c r="F27" s="275"/>
      <c r="G27" s="144"/>
    </row>
    <row r="28" spans="1:8" s="4" customFormat="1" ht="21.75" customHeight="1" x14ac:dyDescent="0.2">
      <c r="A28" s="149" t="s">
        <v>88</v>
      </c>
      <c r="B28" s="149" t="s">
        <v>89</v>
      </c>
      <c r="C28" s="150" t="s">
        <v>26</v>
      </c>
      <c r="D28" s="150" t="s">
        <v>24</v>
      </c>
      <c r="E28" s="151" t="s">
        <v>90</v>
      </c>
      <c r="F28" s="151" t="s">
        <v>91</v>
      </c>
      <c r="G28" s="151" t="s">
        <v>92</v>
      </c>
    </row>
    <row r="29" spans="1:8" s="4" customFormat="1" ht="20.399999999999999" x14ac:dyDescent="0.2">
      <c r="A29" s="139" t="s">
        <v>109</v>
      </c>
      <c r="B29" s="139" t="s">
        <v>142</v>
      </c>
      <c r="C29" s="140" t="s">
        <v>143</v>
      </c>
      <c r="D29" s="141" t="s">
        <v>8</v>
      </c>
      <c r="E29" s="142">
        <v>1.1000000000000001</v>
      </c>
      <c r="F29" s="143">
        <v>41.9</v>
      </c>
      <c r="G29" s="144">
        <f>E29*F29</f>
        <v>46.09</v>
      </c>
    </row>
    <row r="30" spans="1:8" s="4" customFormat="1" x14ac:dyDescent="0.2">
      <c r="A30" s="139" t="s">
        <v>109</v>
      </c>
      <c r="B30" s="139" t="s">
        <v>147</v>
      </c>
      <c r="C30" s="140" t="s">
        <v>148</v>
      </c>
      <c r="D30" s="141" t="s">
        <v>135</v>
      </c>
      <c r="E30" s="142">
        <v>9.84</v>
      </c>
      <c r="F30" s="143">
        <v>3.35</v>
      </c>
      <c r="G30" s="144">
        <f>E30*F30</f>
        <v>32.963999999999999</v>
      </c>
    </row>
    <row r="31" spans="1:8" s="4" customFormat="1" x14ac:dyDescent="0.2">
      <c r="A31" s="139" t="s">
        <v>109</v>
      </c>
      <c r="B31" s="139" t="s">
        <v>136</v>
      </c>
      <c r="C31" s="140" t="s">
        <v>137</v>
      </c>
      <c r="D31" s="141" t="s">
        <v>135</v>
      </c>
      <c r="E31" s="142">
        <v>0.42</v>
      </c>
      <c r="F31" s="143">
        <v>5.57</v>
      </c>
      <c r="G31" s="144">
        <f>E31*F31</f>
        <v>2.3393999999999999</v>
      </c>
    </row>
    <row r="32" spans="1:8" s="4" customFormat="1" x14ac:dyDescent="0.2">
      <c r="A32" s="139" t="s">
        <v>110</v>
      </c>
      <c r="B32" s="139" t="s">
        <v>138</v>
      </c>
      <c r="C32" s="140" t="s">
        <v>139</v>
      </c>
      <c r="D32" s="141" t="s">
        <v>140</v>
      </c>
      <c r="E32" s="142">
        <v>0.8</v>
      </c>
      <c r="F32" s="143">
        <v>26.38</v>
      </c>
      <c r="G32" s="144">
        <f>E32*F32</f>
        <v>21.103999999999999</v>
      </c>
    </row>
    <row r="33" spans="1:8" s="4" customFormat="1" x14ac:dyDescent="0.2">
      <c r="A33" s="139" t="s">
        <v>110</v>
      </c>
      <c r="B33" s="139" t="s">
        <v>111</v>
      </c>
      <c r="C33" s="140" t="s">
        <v>141</v>
      </c>
      <c r="D33" s="141" t="s">
        <v>140</v>
      </c>
      <c r="E33" s="142">
        <v>0.65</v>
      </c>
      <c r="F33" s="143">
        <v>21.28</v>
      </c>
      <c r="G33" s="144">
        <f>E33*F33</f>
        <v>13.832000000000001</v>
      </c>
    </row>
    <row r="34" spans="1:8" s="4" customFormat="1" x14ac:dyDescent="0.2">
      <c r="A34" s="152"/>
      <c r="B34" s="152"/>
      <c r="C34" s="153"/>
      <c r="D34" s="152"/>
      <c r="E34" s="152"/>
      <c r="F34" s="154" t="s">
        <v>17</v>
      </c>
      <c r="G34" s="150">
        <f>TRUNC(SUM(G29:G33),2)</f>
        <v>116.32</v>
      </c>
      <c r="H34" s="4" t="s">
        <v>93</v>
      </c>
    </row>
    <row r="35" spans="1:8" s="4" customFormat="1" x14ac:dyDescent="0.2">
      <c r="A35" s="152"/>
      <c r="B35" s="152"/>
      <c r="C35" s="152"/>
      <c r="D35" s="152"/>
      <c r="E35" s="152"/>
      <c r="F35" s="152"/>
      <c r="G35" s="152"/>
    </row>
    <row r="36" spans="1:8" x14ac:dyDescent="0.2">
      <c r="A36" s="152" t="s">
        <v>146</v>
      </c>
    </row>
    <row r="37" spans="1:8" x14ac:dyDescent="0.2">
      <c r="A37" s="152"/>
    </row>
    <row r="38" spans="1:8" s="4" customFormat="1" ht="11.25" customHeight="1" x14ac:dyDescent="0.2">
      <c r="A38" s="276" t="s">
        <v>95</v>
      </c>
      <c r="B38" s="276"/>
      <c r="C38" s="145"/>
      <c r="D38" s="277"/>
      <c r="E38" s="278"/>
      <c r="F38" s="278"/>
      <c r="G38" s="279"/>
    </row>
    <row r="39" spans="1:8" s="4" customFormat="1" ht="69.75" customHeight="1" x14ac:dyDescent="0.2">
      <c r="A39" s="276"/>
      <c r="B39" s="276"/>
      <c r="C39" s="145" t="s">
        <v>23</v>
      </c>
      <c r="D39" s="280" t="s">
        <v>153</v>
      </c>
      <c r="E39" s="280"/>
      <c r="F39" s="280"/>
      <c r="G39" s="280"/>
    </row>
    <row r="40" spans="1:8" s="4" customFormat="1" ht="11.25" customHeight="1" x14ac:dyDescent="0.2">
      <c r="A40" s="276"/>
      <c r="B40" s="276"/>
      <c r="C40" s="145" t="s">
        <v>24</v>
      </c>
      <c r="D40" s="146" t="s">
        <v>8</v>
      </c>
      <c r="E40" s="281" t="s">
        <v>25</v>
      </c>
      <c r="F40" s="281"/>
      <c r="G40" s="282">
        <f>G47</f>
        <v>758.9</v>
      </c>
    </row>
    <row r="41" spans="1:8" s="4" customFormat="1" x14ac:dyDescent="0.2">
      <c r="A41" s="276"/>
      <c r="B41" s="276"/>
      <c r="C41" s="145" t="s">
        <v>22</v>
      </c>
      <c r="D41" s="146">
        <v>1</v>
      </c>
      <c r="E41" s="281"/>
      <c r="F41" s="281"/>
      <c r="G41" s="282"/>
    </row>
    <row r="42" spans="1:8" s="4" customFormat="1" x14ac:dyDescent="0.2">
      <c r="A42" s="147"/>
      <c r="B42" s="147"/>
      <c r="C42" s="148"/>
      <c r="D42" s="148"/>
      <c r="E42" s="275"/>
      <c r="F42" s="275"/>
      <c r="G42" s="144"/>
    </row>
    <row r="43" spans="1:8" s="4" customFormat="1" ht="21.75" customHeight="1" x14ac:dyDescent="0.2">
      <c r="A43" s="149" t="s">
        <v>88</v>
      </c>
      <c r="B43" s="149" t="s">
        <v>89</v>
      </c>
      <c r="C43" s="150" t="s">
        <v>26</v>
      </c>
      <c r="D43" s="150" t="s">
        <v>24</v>
      </c>
      <c r="E43" s="151" t="s">
        <v>90</v>
      </c>
      <c r="F43" s="151" t="s">
        <v>91</v>
      </c>
      <c r="G43" s="151" t="s">
        <v>92</v>
      </c>
    </row>
    <row r="44" spans="1:8" s="4" customFormat="1" ht="30.6" x14ac:dyDescent="0.2">
      <c r="A44" s="139" t="s">
        <v>109</v>
      </c>
      <c r="B44" s="139" t="s">
        <v>154</v>
      </c>
      <c r="C44" s="140" t="s">
        <v>153</v>
      </c>
      <c r="D44" s="141" t="s">
        <v>8</v>
      </c>
      <c r="E44" s="142">
        <v>1</v>
      </c>
      <c r="F44" s="143">
        <v>748.43</v>
      </c>
      <c r="G44" s="144">
        <f>E44*F44</f>
        <v>748.43</v>
      </c>
    </row>
    <row r="45" spans="1:8" s="4" customFormat="1" ht="20.399999999999999" x14ac:dyDescent="0.2">
      <c r="A45" s="139" t="s">
        <v>110</v>
      </c>
      <c r="B45" s="139" t="s">
        <v>155</v>
      </c>
      <c r="C45" s="140" t="s">
        <v>156</v>
      </c>
      <c r="D45" s="141" t="s">
        <v>140</v>
      </c>
      <c r="E45" s="142">
        <v>0.28199999999999997</v>
      </c>
      <c r="F45" s="143">
        <v>26.51</v>
      </c>
      <c r="G45" s="144">
        <f>E45*F45</f>
        <v>7.4758199999999997</v>
      </c>
    </row>
    <row r="46" spans="1:8" s="4" customFormat="1" x14ac:dyDescent="0.2">
      <c r="A46" s="139" t="s">
        <v>110</v>
      </c>
      <c r="B46" s="139" t="s">
        <v>111</v>
      </c>
      <c r="C46" s="140" t="s">
        <v>150</v>
      </c>
      <c r="D46" s="141" t="s">
        <v>140</v>
      </c>
      <c r="E46" s="142">
        <v>0.14099999999999999</v>
      </c>
      <c r="F46" s="143">
        <v>21.28</v>
      </c>
      <c r="G46" s="144">
        <f>E46*F46</f>
        <v>3.00048</v>
      </c>
    </row>
    <row r="47" spans="1:8" s="4" customFormat="1" x14ac:dyDescent="0.2">
      <c r="A47" s="152"/>
      <c r="B47" s="152"/>
      <c r="C47" s="153"/>
      <c r="D47" s="152"/>
      <c r="E47" s="152"/>
      <c r="F47" s="154" t="s">
        <v>17</v>
      </c>
      <c r="G47" s="150">
        <f>TRUNC(SUM(G44:G46),2)</f>
        <v>758.9</v>
      </c>
      <c r="H47" s="4" t="s">
        <v>93</v>
      </c>
    </row>
    <row r="48" spans="1:8" s="4" customFormat="1" x14ac:dyDescent="0.2">
      <c r="A48" s="152"/>
      <c r="B48" s="152"/>
      <c r="C48" s="152"/>
      <c r="D48" s="152"/>
      <c r="E48" s="152"/>
      <c r="F48" s="152"/>
      <c r="G48" s="152"/>
    </row>
    <row r="49" spans="1:7" x14ac:dyDescent="0.2">
      <c r="A49" s="152" t="s">
        <v>152</v>
      </c>
    </row>
    <row r="51" spans="1:7" x14ac:dyDescent="0.2">
      <c r="A51" s="276" t="s">
        <v>252</v>
      </c>
      <c r="B51" s="276"/>
      <c r="C51" s="145"/>
      <c r="D51" s="277"/>
      <c r="E51" s="278"/>
      <c r="F51" s="278"/>
      <c r="G51" s="279"/>
    </row>
    <row r="52" spans="1:7" ht="21" customHeight="1" x14ac:dyDescent="0.2">
      <c r="A52" s="276"/>
      <c r="B52" s="276"/>
      <c r="C52" s="145" t="s">
        <v>23</v>
      </c>
      <c r="D52" s="280" t="s">
        <v>251</v>
      </c>
      <c r="E52" s="280"/>
      <c r="F52" s="280"/>
      <c r="G52" s="280"/>
    </row>
    <row r="53" spans="1:7" x14ac:dyDescent="0.2">
      <c r="A53" s="276"/>
      <c r="B53" s="276"/>
      <c r="C53" s="145" t="s">
        <v>24</v>
      </c>
      <c r="D53" s="146" t="s">
        <v>8</v>
      </c>
      <c r="E53" s="281" t="s">
        <v>25</v>
      </c>
      <c r="F53" s="281"/>
      <c r="G53" s="282">
        <f>G59</f>
        <v>15.44</v>
      </c>
    </row>
    <row r="54" spans="1:7" x14ac:dyDescent="0.2">
      <c r="A54" s="276"/>
      <c r="B54" s="276"/>
      <c r="C54" s="145" t="s">
        <v>22</v>
      </c>
      <c r="D54" s="146">
        <v>1</v>
      </c>
      <c r="E54" s="281"/>
      <c r="F54" s="281"/>
      <c r="G54" s="282"/>
    </row>
    <row r="55" spans="1:7" x14ac:dyDescent="0.2">
      <c r="A55" s="147"/>
      <c r="B55" s="147"/>
      <c r="C55" s="148"/>
      <c r="D55" s="148"/>
      <c r="E55" s="275"/>
      <c r="F55" s="275"/>
      <c r="G55" s="144"/>
    </row>
    <row r="56" spans="1:7" ht="20.399999999999999" x14ac:dyDescent="0.2">
      <c r="A56" s="149" t="s">
        <v>88</v>
      </c>
      <c r="B56" s="149" t="s">
        <v>89</v>
      </c>
      <c r="C56" s="150" t="s">
        <v>26</v>
      </c>
      <c r="D56" s="150" t="s">
        <v>24</v>
      </c>
      <c r="E56" s="151" t="s">
        <v>90</v>
      </c>
      <c r="F56" s="151" t="s">
        <v>91</v>
      </c>
      <c r="G56" s="151" t="s">
        <v>92</v>
      </c>
    </row>
    <row r="57" spans="1:7" x14ac:dyDescent="0.2">
      <c r="A57" s="139" t="s">
        <v>110</v>
      </c>
      <c r="B57" s="139" t="s">
        <v>248</v>
      </c>
      <c r="C57" s="140" t="s">
        <v>249</v>
      </c>
      <c r="D57" s="141" t="s">
        <v>140</v>
      </c>
      <c r="E57" s="142">
        <v>0.45910000000000001</v>
      </c>
      <c r="F57" s="143">
        <v>26.31</v>
      </c>
      <c r="G57" s="144">
        <f>E57*F57</f>
        <v>12.078920999999999</v>
      </c>
    </row>
    <row r="58" spans="1:7" x14ac:dyDescent="0.2">
      <c r="A58" s="139" t="s">
        <v>110</v>
      </c>
      <c r="B58" s="139" t="s">
        <v>111</v>
      </c>
      <c r="C58" s="140" t="s">
        <v>250</v>
      </c>
      <c r="D58" s="141" t="s">
        <v>140</v>
      </c>
      <c r="E58" s="142">
        <v>0.15820000000000001</v>
      </c>
      <c r="F58" s="143">
        <v>21.28</v>
      </c>
      <c r="G58" s="144">
        <f>E58*F58</f>
        <v>3.3664960000000002</v>
      </c>
    </row>
    <row r="59" spans="1:7" x14ac:dyDescent="0.2">
      <c r="A59" s="152"/>
      <c r="B59" s="152"/>
      <c r="C59" s="153"/>
      <c r="D59" s="152"/>
      <c r="E59" s="152"/>
      <c r="F59" s="154" t="s">
        <v>17</v>
      </c>
      <c r="G59" s="150">
        <f>TRUNC(SUM(G57:G58),2)</f>
        <v>15.44</v>
      </c>
    </row>
    <row r="60" spans="1:7" x14ac:dyDescent="0.2">
      <c r="A60" s="152"/>
      <c r="B60" s="152"/>
      <c r="C60" s="152"/>
      <c r="D60" s="152"/>
      <c r="E60" s="152"/>
      <c r="F60" s="152"/>
      <c r="G60" s="152"/>
    </row>
    <row r="61" spans="1:7" x14ac:dyDescent="0.2">
      <c r="A61" s="152" t="s">
        <v>247</v>
      </c>
    </row>
    <row r="62" spans="1:7" x14ac:dyDescent="0.2">
      <c r="A62" s="276" t="s">
        <v>266</v>
      </c>
      <c r="B62" s="276"/>
      <c r="C62" s="145"/>
      <c r="D62" s="277"/>
      <c r="E62" s="278"/>
      <c r="F62" s="278"/>
      <c r="G62" s="279"/>
    </row>
    <row r="63" spans="1:7" ht="21" customHeight="1" x14ac:dyDescent="0.2">
      <c r="A63" s="276"/>
      <c r="B63" s="276"/>
      <c r="C63" s="145" t="s">
        <v>23</v>
      </c>
      <c r="D63" s="280" t="s">
        <v>268</v>
      </c>
      <c r="E63" s="280"/>
      <c r="F63" s="280"/>
      <c r="G63" s="280"/>
    </row>
    <row r="64" spans="1:7" x14ac:dyDescent="0.2">
      <c r="A64" s="276"/>
      <c r="B64" s="276"/>
      <c r="C64" s="145" t="s">
        <v>24</v>
      </c>
      <c r="D64" s="146" t="s">
        <v>8</v>
      </c>
      <c r="E64" s="281" t="s">
        <v>25</v>
      </c>
      <c r="F64" s="281"/>
      <c r="G64" s="282">
        <f>G69</f>
        <v>6450</v>
      </c>
    </row>
    <row r="65" spans="1:7" x14ac:dyDescent="0.2">
      <c r="A65" s="276"/>
      <c r="B65" s="276"/>
      <c r="C65" s="145" t="s">
        <v>22</v>
      </c>
      <c r="D65" s="146">
        <v>1</v>
      </c>
      <c r="E65" s="281"/>
      <c r="F65" s="281"/>
      <c r="G65" s="282"/>
    </row>
    <row r="66" spans="1:7" x14ac:dyDescent="0.2">
      <c r="A66" s="147"/>
      <c r="B66" s="147"/>
      <c r="C66" s="148"/>
      <c r="D66" s="148"/>
      <c r="E66" s="275"/>
      <c r="F66" s="275"/>
      <c r="G66" s="144"/>
    </row>
    <row r="67" spans="1:7" ht="20.399999999999999" x14ac:dyDescent="0.2">
      <c r="A67" s="149" t="s">
        <v>88</v>
      </c>
      <c r="B67" s="149" t="s">
        <v>89</v>
      </c>
      <c r="C67" s="150" t="s">
        <v>26</v>
      </c>
      <c r="D67" s="150" t="s">
        <v>24</v>
      </c>
      <c r="E67" s="151" t="s">
        <v>90</v>
      </c>
      <c r="F67" s="151" t="s">
        <v>91</v>
      </c>
      <c r="G67" s="151" t="s">
        <v>92</v>
      </c>
    </row>
    <row r="68" spans="1:7" x14ac:dyDescent="0.2">
      <c r="A68" s="139" t="s">
        <v>265</v>
      </c>
      <c r="B68" s="139" t="s">
        <v>321</v>
      </c>
      <c r="C68" s="140" t="s">
        <v>268</v>
      </c>
      <c r="D68" s="141" t="s">
        <v>87</v>
      </c>
      <c r="E68" s="142">
        <v>1</v>
      </c>
      <c r="F68" s="143">
        <f>COTAÇÕES!F30</f>
        <v>6450</v>
      </c>
      <c r="G68" s="144">
        <f>E68*F68</f>
        <v>6450</v>
      </c>
    </row>
    <row r="69" spans="1:7" x14ac:dyDescent="0.2">
      <c r="A69" s="152"/>
      <c r="B69" s="152"/>
      <c r="C69" s="153"/>
      <c r="D69" s="152"/>
      <c r="E69" s="152"/>
      <c r="F69" s="154" t="s">
        <v>17</v>
      </c>
      <c r="G69" s="150">
        <f>TRUNC(SUM(G68:G68),2)</f>
        <v>6450</v>
      </c>
    </row>
    <row r="70" spans="1:7" x14ac:dyDescent="0.2">
      <c r="A70" s="276" t="s">
        <v>304</v>
      </c>
      <c r="B70" s="276"/>
      <c r="C70" s="145"/>
      <c r="D70" s="277"/>
      <c r="E70" s="278"/>
      <c r="F70" s="278"/>
      <c r="G70" s="279"/>
    </row>
    <row r="71" spans="1:7" ht="21" customHeight="1" x14ac:dyDescent="0.2">
      <c r="A71" s="276"/>
      <c r="B71" s="276"/>
      <c r="C71" s="145" t="s">
        <v>23</v>
      </c>
      <c r="D71" s="280" t="s">
        <v>305</v>
      </c>
      <c r="E71" s="280"/>
      <c r="F71" s="280"/>
      <c r="G71" s="280"/>
    </row>
    <row r="72" spans="1:7" x14ac:dyDescent="0.2">
      <c r="A72" s="276"/>
      <c r="B72" s="276"/>
      <c r="C72" s="145" t="s">
        <v>24</v>
      </c>
      <c r="D72" s="146" t="s">
        <v>8</v>
      </c>
      <c r="E72" s="281" t="s">
        <v>25</v>
      </c>
      <c r="F72" s="281"/>
      <c r="G72" s="282">
        <f>G79</f>
        <v>942.01</v>
      </c>
    </row>
    <row r="73" spans="1:7" x14ac:dyDescent="0.2">
      <c r="A73" s="276"/>
      <c r="B73" s="276"/>
      <c r="C73" s="145" t="s">
        <v>22</v>
      </c>
      <c r="D73" s="146">
        <v>1</v>
      </c>
      <c r="E73" s="281"/>
      <c r="F73" s="281"/>
      <c r="G73" s="282"/>
    </row>
    <row r="74" spans="1:7" x14ac:dyDescent="0.2">
      <c r="A74" s="147"/>
      <c r="B74" s="147"/>
      <c r="C74" s="148"/>
      <c r="D74" s="148"/>
      <c r="E74" s="275"/>
      <c r="F74" s="275"/>
      <c r="G74" s="144"/>
    </row>
    <row r="75" spans="1:7" ht="20.399999999999999" x14ac:dyDescent="0.2">
      <c r="A75" s="149" t="s">
        <v>88</v>
      </c>
      <c r="B75" s="149" t="s">
        <v>89</v>
      </c>
      <c r="C75" s="150" t="s">
        <v>26</v>
      </c>
      <c r="D75" s="150" t="s">
        <v>24</v>
      </c>
      <c r="E75" s="151" t="s">
        <v>90</v>
      </c>
      <c r="F75" s="151" t="s">
        <v>91</v>
      </c>
      <c r="G75" s="151" t="s">
        <v>92</v>
      </c>
    </row>
    <row r="76" spans="1:7" x14ac:dyDescent="0.2">
      <c r="A76" s="139" t="s">
        <v>265</v>
      </c>
      <c r="B76" s="139" t="s">
        <v>306</v>
      </c>
      <c r="C76" s="140" t="s">
        <v>301</v>
      </c>
      <c r="D76" s="141" t="s">
        <v>87</v>
      </c>
      <c r="E76" s="142">
        <v>1</v>
      </c>
      <c r="F76" s="143">
        <f>COTAÇÕES!F19</f>
        <v>923.45333333333338</v>
      </c>
      <c r="G76" s="144">
        <f>E76*F76</f>
        <v>923.45333333333338</v>
      </c>
    </row>
    <row r="77" spans="1:7" x14ac:dyDescent="0.2">
      <c r="A77" s="139" t="s">
        <v>32</v>
      </c>
      <c r="B77" s="139" t="s">
        <v>308</v>
      </c>
      <c r="C77" s="140" t="s">
        <v>309</v>
      </c>
      <c r="D77" s="141" t="s">
        <v>307</v>
      </c>
      <c r="E77" s="142">
        <v>0.25900000000000001</v>
      </c>
      <c r="F77" s="143">
        <v>21.12</v>
      </c>
      <c r="G77" s="144">
        <f>E77*F77</f>
        <v>5.4700800000000003</v>
      </c>
    </row>
    <row r="78" spans="1:7" x14ac:dyDescent="0.2">
      <c r="A78" s="139" t="s">
        <v>32</v>
      </c>
      <c r="B78" s="139" t="s">
        <v>310</v>
      </c>
      <c r="C78" s="140" t="s">
        <v>311</v>
      </c>
      <c r="D78" s="141" t="s">
        <v>307</v>
      </c>
      <c r="E78" s="142">
        <v>0.51900000000000002</v>
      </c>
      <c r="F78" s="143">
        <v>25.22</v>
      </c>
      <c r="G78" s="144">
        <f>E78*F78</f>
        <v>13.089180000000001</v>
      </c>
    </row>
    <row r="79" spans="1:7" x14ac:dyDescent="0.2">
      <c r="B79" s="152"/>
      <c r="C79" s="153"/>
      <c r="D79" s="152"/>
      <c r="E79" s="152"/>
      <c r="F79" s="154" t="s">
        <v>17</v>
      </c>
      <c r="G79" s="150">
        <f>TRUNC(SUM(G76:G78),2)</f>
        <v>942.01</v>
      </c>
    </row>
    <row r="80" spans="1:7" x14ac:dyDescent="0.2">
      <c r="A80" s="276" t="s">
        <v>320</v>
      </c>
      <c r="B80" s="276"/>
      <c r="C80" s="145"/>
      <c r="D80" s="277"/>
      <c r="E80" s="278"/>
      <c r="F80" s="278"/>
      <c r="G80" s="279"/>
    </row>
    <row r="81" spans="1:12" ht="21" customHeight="1" x14ac:dyDescent="0.2">
      <c r="A81" s="276"/>
      <c r="B81" s="276"/>
      <c r="C81" s="145" t="s">
        <v>23</v>
      </c>
      <c r="D81" s="280" t="s">
        <v>343</v>
      </c>
      <c r="E81" s="280"/>
      <c r="F81" s="280"/>
      <c r="G81" s="280"/>
    </row>
    <row r="82" spans="1:12" x14ac:dyDescent="0.2">
      <c r="A82" s="276"/>
      <c r="B82" s="276"/>
      <c r="C82" s="145" t="s">
        <v>24</v>
      </c>
      <c r="D82" s="146" t="s">
        <v>8</v>
      </c>
      <c r="E82" s="281" t="s">
        <v>25</v>
      </c>
      <c r="F82" s="281"/>
      <c r="G82" s="282">
        <f>G91</f>
        <v>27.26</v>
      </c>
    </row>
    <row r="83" spans="1:12" x14ac:dyDescent="0.2">
      <c r="A83" s="276"/>
      <c r="B83" s="276"/>
      <c r="C83" s="145" t="s">
        <v>22</v>
      </c>
      <c r="D83" s="146">
        <v>1</v>
      </c>
      <c r="E83" s="281"/>
      <c r="F83" s="281"/>
      <c r="G83" s="282"/>
    </row>
    <row r="84" spans="1:12" x14ac:dyDescent="0.2">
      <c r="A84" s="147"/>
      <c r="B84" s="147"/>
      <c r="C84" s="148"/>
      <c r="D84" s="148"/>
      <c r="E84" s="275"/>
      <c r="F84" s="275"/>
      <c r="G84" s="144"/>
    </row>
    <row r="85" spans="1:12" ht="20.399999999999999" x14ac:dyDescent="0.2">
      <c r="A85" s="149" t="s">
        <v>88</v>
      </c>
      <c r="B85" s="149" t="s">
        <v>89</v>
      </c>
      <c r="C85" s="150" t="s">
        <v>26</v>
      </c>
      <c r="D85" s="150" t="s">
        <v>24</v>
      </c>
      <c r="E85" s="151" t="s">
        <v>90</v>
      </c>
      <c r="F85" s="151" t="s">
        <v>91</v>
      </c>
      <c r="G85" s="151" t="s">
        <v>92</v>
      </c>
    </row>
    <row r="86" spans="1:12" x14ac:dyDescent="0.2">
      <c r="A86" s="139" t="s">
        <v>265</v>
      </c>
      <c r="B86" s="139" t="s">
        <v>322</v>
      </c>
      <c r="C86" s="140" t="s">
        <v>333</v>
      </c>
      <c r="D86" s="141" t="s">
        <v>60</v>
      </c>
      <c r="E86" s="142">
        <v>0.27</v>
      </c>
      <c r="F86" s="143">
        <f>COTAÇÕES!F41</f>
        <v>40.75</v>
      </c>
      <c r="G86" s="144">
        <f>E86*F86</f>
        <v>11.002500000000001</v>
      </c>
    </row>
    <row r="87" spans="1:12" x14ac:dyDescent="0.2">
      <c r="A87" s="139" t="s">
        <v>97</v>
      </c>
      <c r="B87" s="139" t="s">
        <v>334</v>
      </c>
      <c r="C87" s="140" t="s">
        <v>335</v>
      </c>
      <c r="D87" s="141" t="s">
        <v>60</v>
      </c>
      <c r="E87" s="142">
        <v>0.05</v>
      </c>
      <c r="F87" s="143">
        <v>17.190000000000001</v>
      </c>
      <c r="G87" s="144">
        <f>E87*F87</f>
        <v>0.85950000000000015</v>
      </c>
    </row>
    <row r="88" spans="1:12" x14ac:dyDescent="0.2">
      <c r="A88" s="139" t="s">
        <v>97</v>
      </c>
      <c r="B88" s="139" t="s">
        <v>336</v>
      </c>
      <c r="C88" s="140" t="s">
        <v>337</v>
      </c>
      <c r="D88" s="141" t="s">
        <v>60</v>
      </c>
      <c r="E88" s="142">
        <v>1</v>
      </c>
      <c r="F88" s="143">
        <v>0.55000000000000004</v>
      </c>
      <c r="G88" s="144">
        <f>E88*F88</f>
        <v>0.55000000000000004</v>
      </c>
    </row>
    <row r="89" spans="1:12" x14ac:dyDescent="0.2">
      <c r="A89" s="139" t="s">
        <v>97</v>
      </c>
      <c r="B89" s="139" t="s">
        <v>338</v>
      </c>
      <c r="C89" s="140" t="s">
        <v>339</v>
      </c>
      <c r="D89" s="141" t="s">
        <v>307</v>
      </c>
      <c r="E89" s="142">
        <v>0.3</v>
      </c>
      <c r="F89" s="143">
        <v>18.63</v>
      </c>
      <c r="G89" s="144">
        <f t="shared" ref="G89:G90" si="0">E89*F89</f>
        <v>5.5889999999999995</v>
      </c>
    </row>
    <row r="90" spans="1:12" x14ac:dyDescent="0.2">
      <c r="A90" s="139" t="s">
        <v>97</v>
      </c>
      <c r="B90" s="139" t="s">
        <v>340</v>
      </c>
      <c r="C90" s="140" t="s">
        <v>341</v>
      </c>
      <c r="D90" s="141" t="s">
        <v>307</v>
      </c>
      <c r="E90" s="142">
        <v>0.4</v>
      </c>
      <c r="F90" s="143">
        <v>23.17</v>
      </c>
      <c r="G90" s="144">
        <f t="shared" si="0"/>
        <v>9.2680000000000007</v>
      </c>
    </row>
    <row r="91" spans="1:12" x14ac:dyDescent="0.2">
      <c r="B91" s="152"/>
      <c r="C91" s="153"/>
      <c r="D91" s="152"/>
      <c r="E91" s="152"/>
      <c r="F91" s="154" t="s">
        <v>17</v>
      </c>
      <c r="G91" s="150">
        <f>TRUNC(SUM(G86:G90),2)</f>
        <v>27.26</v>
      </c>
    </row>
    <row r="92" spans="1:12" x14ac:dyDescent="0.2">
      <c r="A92" s="152"/>
      <c r="B92" s="152"/>
      <c r="C92" s="152"/>
      <c r="D92" s="152"/>
      <c r="E92" s="152"/>
      <c r="F92" s="152"/>
      <c r="G92" s="152"/>
    </row>
    <row r="94" spans="1:12" x14ac:dyDescent="0.2">
      <c r="L94" s="54" t="e">
        <f>'COMPOSICOES SEM DESON'!#REF!</f>
        <v>#REF!</v>
      </c>
    </row>
  </sheetData>
  <autoFilter ref="A9:G9" xr:uid="{00000000-0009-0000-0000-00000B000000}"/>
  <mergeCells count="48">
    <mergeCell ref="E84:F84"/>
    <mergeCell ref="A80:B83"/>
    <mergeCell ref="D80:G80"/>
    <mergeCell ref="D81:G81"/>
    <mergeCell ref="E82:F83"/>
    <mergeCell ref="G82:G83"/>
    <mergeCell ref="E55:F55"/>
    <mergeCell ref="A51:B54"/>
    <mergeCell ref="D51:G51"/>
    <mergeCell ref="D52:G52"/>
    <mergeCell ref="E53:F54"/>
    <mergeCell ref="G53:G54"/>
    <mergeCell ref="E42:F42"/>
    <mergeCell ref="E27:F27"/>
    <mergeCell ref="E14:F14"/>
    <mergeCell ref="A10:B13"/>
    <mergeCell ref="D10:G10"/>
    <mergeCell ref="D11:G11"/>
    <mergeCell ref="E12:F13"/>
    <mergeCell ref="G12:G13"/>
    <mergeCell ref="A38:B41"/>
    <mergeCell ref="D38:G38"/>
    <mergeCell ref="D39:G39"/>
    <mergeCell ref="E40:F41"/>
    <mergeCell ref="G40:G41"/>
    <mergeCell ref="A23:B26"/>
    <mergeCell ref="D23:G23"/>
    <mergeCell ref="D24:G24"/>
    <mergeCell ref="E25:F26"/>
    <mergeCell ref="G25:G26"/>
    <mergeCell ref="A8:G8"/>
    <mergeCell ref="A2:G2"/>
    <mergeCell ref="A4:G4"/>
    <mergeCell ref="A5:G5"/>
    <mergeCell ref="A6:G6"/>
    <mergeCell ref="A7:G7"/>
    <mergeCell ref="E66:F66"/>
    <mergeCell ref="A62:B65"/>
    <mergeCell ref="D62:G62"/>
    <mergeCell ref="D63:G63"/>
    <mergeCell ref="E64:F65"/>
    <mergeCell ref="G64:G65"/>
    <mergeCell ref="E74:F74"/>
    <mergeCell ref="A70:B73"/>
    <mergeCell ref="D70:G70"/>
    <mergeCell ref="D71:G71"/>
    <mergeCell ref="E72:F73"/>
    <mergeCell ref="G72:G73"/>
  </mergeCells>
  <phoneticPr fontId="8" type="noConversion"/>
  <printOptions horizontalCentered="1"/>
  <pageMargins left="0.51181102362204722" right="0.51181102362204722" top="1.1811023622047245" bottom="1.5748031496062993" header="0.31496062992125984" footer="0.31496062992125984"/>
  <pageSetup paperSize="9" scale="69" orientation="portrait" horizontalDpi="360" verticalDpi="360" r:id="rId1"/>
  <headerFooter>
    <oddHeader>&amp;C&amp;G</oddHeader>
    <oddFooter>&amp;C&amp;G</oddFooter>
  </headerFooter>
  <ignoredErrors>
    <ignoredError sqref="B32" numberStoredAsText="1"/>
  </ignoredError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5" tint="-0.249977111117893"/>
  </sheetPr>
  <dimension ref="A1:O44"/>
  <sheetViews>
    <sheetView view="pageBreakPreview" topLeftCell="A14" zoomScaleNormal="100" zoomScaleSheetLayoutView="100" workbookViewId="0">
      <selection sqref="A1:O1"/>
    </sheetView>
  </sheetViews>
  <sheetFormatPr defaultColWidth="9.109375" defaultRowHeight="10.199999999999999" x14ac:dyDescent="0.2"/>
  <cols>
    <col min="1" max="1" width="6.88671875" style="77" customWidth="1"/>
    <col min="2" max="2" width="43.6640625" style="77" customWidth="1"/>
    <col min="3" max="3" width="12" style="77" customWidth="1"/>
    <col min="4" max="4" width="10.109375" style="77" customWidth="1"/>
    <col min="5" max="5" width="11.33203125" style="77" bestFit="1" customWidth="1"/>
    <col min="6" max="6" width="10.109375" style="77" customWidth="1"/>
    <col min="7" max="7" width="12.109375" style="77" bestFit="1" customWidth="1"/>
    <col min="8" max="8" width="10.109375" style="77" customWidth="1"/>
    <col min="9" max="9" width="12.109375" style="77" bestFit="1" customWidth="1"/>
    <col min="10" max="10" width="10.109375" style="77" customWidth="1"/>
    <col min="11" max="11" width="12.109375" style="77" bestFit="1" customWidth="1"/>
    <col min="12" max="12" width="10.109375" style="77" customWidth="1"/>
    <col min="13" max="13" width="12.109375" style="77" bestFit="1" customWidth="1"/>
    <col min="14" max="14" width="10.109375" style="77" customWidth="1"/>
    <col min="15" max="15" width="12.109375" style="77" bestFit="1" customWidth="1"/>
    <col min="16" max="16384" width="9.109375" style="77"/>
  </cols>
  <sheetData>
    <row r="1" spans="1:15" s="75" customFormat="1" ht="43.2" customHeight="1" x14ac:dyDescent="0.3">
      <c r="A1" s="306" t="str">
        <f>'ORÇAMENTO SEM DESON'!A1:I1</f>
        <v>RECONSTRUÇÃO DO MURO E SERVIÇOS COMPLEMENTARES DA ESCOLA OTAVIANO BASÍLIO HERÁCLIO DO RÊGO</v>
      </c>
      <c r="B1" s="306"/>
      <c r="C1" s="306"/>
      <c r="D1" s="306"/>
      <c r="E1" s="306"/>
      <c r="F1" s="306"/>
      <c r="G1" s="306"/>
      <c r="H1" s="306"/>
      <c r="I1" s="306"/>
      <c r="J1" s="306"/>
      <c r="K1" s="306"/>
      <c r="L1" s="306"/>
      <c r="M1" s="306"/>
      <c r="N1" s="306"/>
      <c r="O1" s="306"/>
    </row>
    <row r="2" spans="1:15" s="75" customFormat="1" ht="15.6" customHeight="1" x14ac:dyDescent="0.2">
      <c r="A2" s="307" t="s">
        <v>35</v>
      </c>
      <c r="B2" s="308"/>
      <c r="C2" s="308"/>
      <c r="D2" s="308"/>
      <c r="E2" s="308"/>
      <c r="F2" s="308"/>
      <c r="G2" s="308"/>
      <c r="H2" s="308"/>
      <c r="I2" s="308"/>
      <c r="J2" s="308"/>
      <c r="K2" s="308"/>
      <c r="L2" s="308"/>
      <c r="M2" s="308"/>
      <c r="N2" s="308"/>
      <c r="O2" s="308"/>
    </row>
    <row r="3" spans="1:15" ht="14.4" customHeight="1" x14ac:dyDescent="0.2">
      <c r="A3" s="309"/>
      <c r="B3" s="310"/>
      <c r="C3" s="310"/>
      <c r="D3" s="310"/>
      <c r="E3" s="310"/>
      <c r="F3" s="310"/>
      <c r="G3" s="310"/>
      <c r="H3" s="310"/>
      <c r="I3" s="310"/>
      <c r="J3" s="310"/>
      <c r="K3" s="310"/>
      <c r="L3" s="310"/>
      <c r="M3" s="310"/>
      <c r="N3" s="310"/>
      <c r="O3" s="310"/>
    </row>
    <row r="4" spans="1:15" ht="25.5" customHeight="1" x14ac:dyDescent="0.25">
      <c r="A4" s="305" t="str">
        <f>'ORÇAMENTO SEM DESON'!A4</f>
        <v>LOCALIZAÇÃO: LIMOEIRO - PE</v>
      </c>
      <c r="B4" s="305"/>
      <c r="C4" s="305"/>
      <c r="D4" s="305"/>
      <c r="E4" s="305"/>
      <c r="F4" s="305"/>
      <c r="G4" s="305"/>
      <c r="H4" s="305"/>
      <c r="I4" s="305"/>
      <c r="J4" s="305"/>
      <c r="K4" s="305"/>
      <c r="L4" s="305"/>
      <c r="M4" s="305"/>
      <c r="N4" s="305"/>
      <c r="O4" s="305"/>
    </row>
    <row r="5" spans="1:15" ht="22.95" customHeight="1" x14ac:dyDescent="0.2">
      <c r="A5" s="311" t="str">
        <f>'ORÇAMENTO SEM DESON'!A5</f>
        <v>FONTES DE PREÇOS: SINAPI JUNHO-2023 -  SEINFRA 027 MARÇO/2021 - SEM DESONERAÇÃO (BDI = 24,20%)</v>
      </c>
      <c r="B5" s="312"/>
      <c r="C5" s="312"/>
      <c r="D5" s="312"/>
      <c r="E5" s="312"/>
      <c r="F5" s="312"/>
      <c r="G5" s="312"/>
      <c r="H5" s="312"/>
      <c r="I5" s="312"/>
      <c r="J5" s="312"/>
      <c r="K5" s="312"/>
      <c r="L5" s="312"/>
      <c r="M5" s="312"/>
      <c r="N5" s="312"/>
      <c r="O5" s="312"/>
    </row>
    <row r="6" spans="1:15" ht="13.2" x14ac:dyDescent="0.25">
      <c r="A6" s="93" t="str">
        <f>'ORÇAMENTO SEM DESON'!A6</f>
        <v>DATA: JULHO/2023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</row>
    <row r="7" spans="1:15" x14ac:dyDescent="0.2">
      <c r="A7" s="72"/>
      <c r="B7" s="72"/>
      <c r="C7" s="68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</row>
    <row r="8" spans="1:15" s="71" customFormat="1" ht="12.75" customHeight="1" x14ac:dyDescent="0.2">
      <c r="A8" s="301" t="s">
        <v>36</v>
      </c>
      <c r="B8" s="301" t="s">
        <v>37</v>
      </c>
      <c r="C8" s="302" t="s">
        <v>38</v>
      </c>
      <c r="D8" s="303" t="s">
        <v>172</v>
      </c>
      <c r="E8" s="304"/>
      <c r="F8" s="303" t="s">
        <v>173</v>
      </c>
      <c r="G8" s="304"/>
      <c r="H8" s="303" t="s">
        <v>174</v>
      </c>
      <c r="I8" s="304"/>
      <c r="J8" s="303" t="s">
        <v>175</v>
      </c>
      <c r="K8" s="304"/>
      <c r="L8" s="303" t="s">
        <v>176</v>
      </c>
      <c r="M8" s="304"/>
      <c r="N8" s="303" t="s">
        <v>177</v>
      </c>
      <c r="O8" s="304"/>
    </row>
    <row r="9" spans="1:15" s="71" customFormat="1" ht="14.4" customHeight="1" x14ac:dyDescent="0.2">
      <c r="A9" s="301"/>
      <c r="B9" s="301"/>
      <c r="C9" s="302"/>
      <c r="D9" s="124" t="s">
        <v>107</v>
      </c>
      <c r="E9" s="125" t="s">
        <v>108</v>
      </c>
      <c r="F9" s="124" t="s">
        <v>107</v>
      </c>
      <c r="G9" s="125" t="s">
        <v>108</v>
      </c>
      <c r="H9" s="124" t="s">
        <v>107</v>
      </c>
      <c r="I9" s="125" t="s">
        <v>108</v>
      </c>
      <c r="J9" s="124" t="s">
        <v>107</v>
      </c>
      <c r="K9" s="125" t="s">
        <v>108</v>
      </c>
      <c r="L9" s="124" t="s">
        <v>107</v>
      </c>
      <c r="M9" s="125" t="s">
        <v>108</v>
      </c>
      <c r="N9" s="124" t="s">
        <v>107</v>
      </c>
      <c r="O9" s="125" t="s">
        <v>108</v>
      </c>
    </row>
    <row r="10" spans="1:15" s="74" customFormat="1" x14ac:dyDescent="0.2">
      <c r="A10" s="72"/>
      <c r="B10" s="72"/>
      <c r="C10" s="64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</row>
    <row r="11" spans="1:15" s="75" customFormat="1" x14ac:dyDescent="0.2">
      <c r="A11" s="119" t="str">
        <f>'ORÇAMENTO SEM DESON'!A9</f>
        <v>1.0</v>
      </c>
      <c r="B11" s="120" t="str">
        <f>'ORÇAMENTO SEM DESON'!D9</f>
        <v>SERVIÇOS PRELIMINARES</v>
      </c>
      <c r="C11" s="118">
        <f>'ORÇAMENTO SEM DESON'!I9</f>
        <v>30490.2</v>
      </c>
      <c r="D11" s="136">
        <v>1</v>
      </c>
      <c r="E11" s="118">
        <f>D11*C11</f>
        <v>30490.2</v>
      </c>
      <c r="F11" s="136"/>
      <c r="G11" s="118"/>
      <c r="H11" s="136"/>
      <c r="I11" s="118"/>
      <c r="J11" s="136"/>
      <c r="K11" s="118"/>
      <c r="L11" s="136"/>
      <c r="M11" s="118"/>
      <c r="N11" s="136"/>
      <c r="O11" s="118"/>
    </row>
    <row r="12" spans="1:15" s="74" customFormat="1" x14ac:dyDescent="0.2">
      <c r="A12" s="72"/>
      <c r="B12" s="72"/>
      <c r="C12" s="64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</row>
    <row r="13" spans="1:15" s="75" customFormat="1" x14ac:dyDescent="0.2">
      <c r="A13" s="121" t="str">
        <f>'ORÇAMENTO SEM DESON'!A12</f>
        <v>2.0</v>
      </c>
      <c r="B13" s="120" t="str">
        <f>'ORÇAMENTO SEM DESON'!D12</f>
        <v>MOVIMENTAÇÃO DE TERRA</v>
      </c>
      <c r="C13" s="118">
        <f>'ORÇAMENTO SEM DESON'!I12</f>
        <v>4866.6000000000004</v>
      </c>
      <c r="D13" s="136">
        <v>0.9</v>
      </c>
      <c r="E13" s="118">
        <f>D13*C13</f>
        <v>4379.9400000000005</v>
      </c>
      <c r="F13" s="136">
        <v>0.1</v>
      </c>
      <c r="G13" s="118">
        <f>F13*C13</f>
        <v>486.66000000000008</v>
      </c>
      <c r="H13" s="136"/>
      <c r="I13" s="118"/>
      <c r="J13" s="136"/>
      <c r="K13" s="118"/>
      <c r="L13" s="136"/>
      <c r="M13" s="118"/>
      <c r="N13" s="136"/>
      <c r="O13" s="118"/>
    </row>
    <row r="14" spans="1:15" s="74" customFormat="1" x14ac:dyDescent="0.2">
      <c r="A14" s="72"/>
      <c r="B14" s="72"/>
      <c r="C14" s="64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3"/>
    </row>
    <row r="15" spans="1:15" s="75" customFormat="1" x14ac:dyDescent="0.2">
      <c r="A15" s="119" t="str">
        <f>'ORÇAMENTO SEM DESON'!A17</f>
        <v>3.0</v>
      </c>
      <c r="B15" s="120" t="str">
        <f>'ORÇAMENTO SEM DESON'!D17</f>
        <v>INFRAESTRUTURA</v>
      </c>
      <c r="C15" s="118">
        <f>'ORÇAMENTO SEM DESON'!I17</f>
        <v>72286</v>
      </c>
      <c r="D15" s="136">
        <v>1</v>
      </c>
      <c r="E15" s="118">
        <f>D15*C15</f>
        <v>72286</v>
      </c>
      <c r="F15" s="136"/>
      <c r="G15" s="118"/>
      <c r="H15" s="136"/>
      <c r="I15" s="118"/>
      <c r="J15" s="136"/>
      <c r="K15" s="118"/>
      <c r="L15" s="136"/>
      <c r="M15" s="118"/>
      <c r="N15" s="136"/>
      <c r="O15" s="118"/>
    </row>
    <row r="16" spans="1:15" s="74" customFormat="1" x14ac:dyDescent="0.2">
      <c r="A16" s="72"/>
      <c r="B16" s="72"/>
      <c r="C16" s="64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</row>
    <row r="17" spans="1:15" s="75" customFormat="1" x14ac:dyDescent="0.2">
      <c r="A17" s="119" t="str">
        <f>'ORÇAMENTO SEM DESON'!A24</f>
        <v>4.0</v>
      </c>
      <c r="B17" s="120" t="str">
        <f>'ORÇAMENTO SEM DESON'!D24</f>
        <v>SUPERESTRUTURA</v>
      </c>
      <c r="C17" s="118">
        <f>'ORÇAMENTO SEM DESON'!I24</f>
        <v>125494.09</v>
      </c>
      <c r="D17" s="136"/>
      <c r="E17" s="118"/>
      <c r="F17" s="136">
        <v>0.5</v>
      </c>
      <c r="G17" s="118">
        <f>F17*$C$17</f>
        <v>62747.044999999998</v>
      </c>
      <c r="H17" s="136">
        <v>0.5</v>
      </c>
      <c r="I17" s="118">
        <f>H17*$C$17</f>
        <v>62747.044999999998</v>
      </c>
      <c r="J17" s="136"/>
      <c r="K17" s="118"/>
      <c r="L17" s="136"/>
      <c r="M17" s="118"/>
      <c r="N17" s="136"/>
      <c r="O17" s="118"/>
    </row>
    <row r="18" spans="1:15" s="74" customFormat="1" x14ac:dyDescent="0.2">
      <c r="A18" s="72"/>
      <c r="B18" s="72"/>
      <c r="C18" s="64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</row>
    <row r="19" spans="1:15" s="75" customFormat="1" x14ac:dyDescent="0.2">
      <c r="A19" s="121" t="str">
        <f>'ORÇAMENTO SEM DESON'!A33</f>
        <v>5.0</v>
      </c>
      <c r="B19" s="120" t="str">
        <f>'ORÇAMENTO SEM DESON'!D33</f>
        <v>ALVENARIA DE VEDAÇÃO</v>
      </c>
      <c r="C19" s="118">
        <f>'ORÇAMENTO SEM DESON'!I33</f>
        <v>26858.7</v>
      </c>
      <c r="D19" s="136"/>
      <c r="E19" s="118"/>
      <c r="F19" s="136">
        <v>0.5</v>
      </c>
      <c r="G19" s="118">
        <f>F19*$C$19</f>
        <v>13429.35</v>
      </c>
      <c r="H19" s="136">
        <v>0.5</v>
      </c>
      <c r="I19" s="118">
        <f>H19*$C$19</f>
        <v>13429.35</v>
      </c>
      <c r="J19" s="136"/>
      <c r="K19" s="118"/>
      <c r="L19" s="136"/>
      <c r="M19" s="118"/>
      <c r="N19" s="136"/>
      <c r="O19" s="118"/>
    </row>
    <row r="20" spans="1:15" s="74" customFormat="1" x14ac:dyDescent="0.2">
      <c r="A20" s="72"/>
      <c r="B20" s="72"/>
      <c r="C20" s="64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73"/>
      <c r="O20" s="73"/>
    </row>
    <row r="21" spans="1:15" s="75" customFormat="1" x14ac:dyDescent="0.2">
      <c r="A21" s="119" t="str">
        <f>'ORÇAMENTO SEM DESON'!A35</f>
        <v>6.0</v>
      </c>
      <c r="B21" s="120" t="str">
        <f>'ORÇAMENTO SEM DESON'!D35</f>
        <v>IMPERMEABILIZAÇÃO</v>
      </c>
      <c r="C21" s="118">
        <f>'ORÇAMENTO SEM DESON'!I35</f>
        <v>12088.7</v>
      </c>
      <c r="D21" s="136"/>
      <c r="E21" s="118"/>
      <c r="F21" s="136">
        <v>1</v>
      </c>
      <c r="G21" s="118">
        <f>F21*$C$21</f>
        <v>12088.7</v>
      </c>
      <c r="H21" s="136"/>
      <c r="I21" s="118"/>
      <c r="J21" s="136"/>
      <c r="K21" s="118"/>
      <c r="L21" s="136"/>
      <c r="M21" s="118"/>
      <c r="N21" s="136"/>
      <c r="O21" s="118"/>
    </row>
    <row r="22" spans="1:15" s="74" customFormat="1" x14ac:dyDescent="0.2">
      <c r="A22" s="72"/>
      <c r="B22" s="72"/>
      <c r="C22" s="64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</row>
    <row r="23" spans="1:15" s="75" customFormat="1" x14ac:dyDescent="0.2">
      <c r="A23" s="119" t="str">
        <f>'ORÇAMENTO SEM DESON'!A37</f>
        <v>7.0</v>
      </c>
      <c r="B23" s="120" t="str">
        <f>'ORÇAMENTO SEM DESON'!D37</f>
        <v>REVESTIMENTOS</v>
      </c>
      <c r="C23" s="118">
        <f>'ORÇAMENTO SEM DESON'!I37</f>
        <v>71674.710000000006</v>
      </c>
      <c r="D23" s="136"/>
      <c r="E23" s="118"/>
      <c r="F23" s="136"/>
      <c r="G23" s="118"/>
      <c r="H23" s="136"/>
      <c r="I23" s="118"/>
      <c r="J23" s="136">
        <v>1</v>
      </c>
      <c r="K23" s="118">
        <f>$C$23*J23</f>
        <v>71674.710000000006</v>
      </c>
      <c r="L23" s="136"/>
      <c r="M23" s="118"/>
      <c r="N23" s="136"/>
      <c r="O23" s="118"/>
    </row>
    <row r="24" spans="1:15" s="74" customFormat="1" x14ac:dyDescent="0.2">
      <c r="A24" s="72"/>
      <c r="B24" s="72"/>
      <c r="C24" s="64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  <c r="O24" s="73"/>
    </row>
    <row r="25" spans="1:15" s="75" customFormat="1" x14ac:dyDescent="0.2">
      <c r="A25" s="121" t="str">
        <f>'ORÇAMENTO SEM DESON'!A43</f>
        <v>8.0</v>
      </c>
      <c r="B25" s="120" t="str">
        <f>'ORÇAMENTO SEM DESON'!D43</f>
        <v>PINTURA</v>
      </c>
      <c r="C25" s="118">
        <f>'ORÇAMENTO SEM DESON'!I43</f>
        <v>53962.89</v>
      </c>
      <c r="D25" s="136"/>
      <c r="E25" s="118"/>
      <c r="F25" s="136"/>
      <c r="G25" s="118"/>
      <c r="H25" s="136"/>
      <c r="I25" s="118"/>
      <c r="J25" s="136"/>
      <c r="K25" s="118"/>
      <c r="L25" s="136">
        <v>1</v>
      </c>
      <c r="M25" s="118">
        <f>$C$25*L25</f>
        <v>53962.89</v>
      </c>
      <c r="N25" s="136"/>
      <c r="O25" s="118"/>
    </row>
    <row r="26" spans="1:15" s="74" customFormat="1" x14ac:dyDescent="0.2">
      <c r="A26" s="72"/>
      <c r="B26" s="72"/>
      <c r="C26" s="64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</row>
    <row r="27" spans="1:15" s="75" customFormat="1" x14ac:dyDescent="0.2">
      <c r="A27" s="119" t="str">
        <f>'ORÇAMENTO SEM DESON'!A48</f>
        <v>9.0</v>
      </c>
      <c r="B27" s="120" t="str">
        <f>'ORÇAMENTO SEM DESON'!D48</f>
        <v>ESQUADRIAS</v>
      </c>
      <c r="C27" s="118">
        <f>'ORÇAMENTO SEM DESON'!I48</f>
        <v>108541.51000000001</v>
      </c>
      <c r="D27" s="136"/>
      <c r="E27" s="118"/>
      <c r="F27" s="136"/>
      <c r="G27" s="118"/>
      <c r="H27" s="136"/>
      <c r="I27" s="118"/>
      <c r="J27" s="136"/>
      <c r="K27" s="118"/>
      <c r="L27" s="136"/>
      <c r="M27" s="118"/>
      <c r="N27" s="136">
        <v>1</v>
      </c>
      <c r="O27" s="118">
        <f>$C$27*N27</f>
        <v>108541.51000000001</v>
      </c>
    </row>
    <row r="28" spans="1:15" s="74" customFormat="1" x14ac:dyDescent="0.2">
      <c r="A28" s="72"/>
      <c r="B28" s="72"/>
      <c r="C28" s="64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</row>
    <row r="29" spans="1:15" s="75" customFormat="1" x14ac:dyDescent="0.2">
      <c r="A29" s="119" t="str">
        <f>'ORÇAMENTO SEM DESON'!A55</f>
        <v>10.0</v>
      </c>
      <c r="B29" s="120" t="str">
        <f>'ORÇAMENTO SEM DESON'!D55</f>
        <v>PAVIMENTAÇÃO</v>
      </c>
      <c r="C29" s="118">
        <f>'ORÇAMENTO SEM DESON'!I55</f>
        <v>16469.07</v>
      </c>
      <c r="D29" s="136"/>
      <c r="E29" s="118"/>
      <c r="F29" s="136"/>
      <c r="G29" s="118"/>
      <c r="H29" s="136"/>
      <c r="I29" s="118"/>
      <c r="J29" s="136">
        <v>1</v>
      </c>
      <c r="K29" s="118">
        <f>J29*$C$29</f>
        <v>16469.07</v>
      </c>
      <c r="L29" s="136"/>
      <c r="M29" s="118"/>
      <c r="N29" s="136"/>
      <c r="O29" s="118"/>
    </row>
    <row r="30" spans="1:15" s="74" customFormat="1" x14ac:dyDescent="0.2">
      <c r="A30" s="72"/>
      <c r="B30" s="72"/>
      <c r="C30" s="64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73"/>
    </row>
    <row r="31" spans="1:15" s="75" customFormat="1" x14ac:dyDescent="0.2">
      <c r="A31" s="121" t="str">
        <f>'ORÇAMENTO SEM DESON'!A57</f>
        <v>11.0</v>
      </c>
      <c r="B31" s="120" t="str">
        <f>'ORÇAMENTO SEM DESON'!D57</f>
        <v>OUTROS SERVIÇOS</v>
      </c>
      <c r="C31" s="118">
        <f>'ORÇAMENTO SEM DESON'!I57</f>
        <v>10998.5</v>
      </c>
      <c r="D31" s="136"/>
      <c r="E31" s="118"/>
      <c r="F31" s="136"/>
      <c r="G31" s="118"/>
      <c r="H31" s="136"/>
      <c r="I31" s="118"/>
      <c r="J31" s="136"/>
      <c r="K31" s="118"/>
      <c r="L31" s="136"/>
      <c r="M31" s="118"/>
      <c r="N31" s="136">
        <v>1</v>
      </c>
      <c r="O31" s="118">
        <f>N31*$C$31</f>
        <v>10998.5</v>
      </c>
    </row>
    <row r="32" spans="1:15" s="74" customFormat="1" x14ac:dyDescent="0.2">
      <c r="A32" s="72"/>
      <c r="B32" s="72"/>
      <c r="C32" s="64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</row>
    <row r="33" spans="1:15" s="95" customFormat="1" x14ac:dyDescent="0.2">
      <c r="A33" s="300" t="s">
        <v>39</v>
      </c>
      <c r="B33" s="300"/>
      <c r="C33" s="300"/>
      <c r="D33" s="123">
        <f>E33/N39</f>
        <v>0.20076807609646483</v>
      </c>
      <c r="E33" s="122">
        <f>SUM(E11:E32)</f>
        <v>107156.14</v>
      </c>
      <c r="F33" s="123">
        <f>G33/N39</f>
        <v>0.16628556330542332</v>
      </c>
      <c r="G33" s="122">
        <f>SUM(G11:G32)</f>
        <v>88751.755000000005</v>
      </c>
      <c r="H33" s="123">
        <f>I33/N39</f>
        <v>0.14272432982481792</v>
      </c>
      <c r="I33" s="122">
        <f>SUM(I11:I32)</f>
        <v>76176.395000000004</v>
      </c>
      <c r="J33" s="123">
        <f>K33/N39</f>
        <v>0.16514645946065296</v>
      </c>
      <c r="K33" s="122">
        <f>SUM(K11:K32)</f>
        <v>88143.78</v>
      </c>
      <c r="L33" s="123">
        <f>M33/N39</f>
        <v>0.10110503799320468</v>
      </c>
      <c r="M33" s="122">
        <f>SUM(M11:M32)</f>
        <v>53962.89</v>
      </c>
      <c r="N33" s="123">
        <f>O33/N39</f>
        <v>0.22397053331943617</v>
      </c>
      <c r="O33" s="122">
        <f>SUM(O11:O32)</f>
        <v>119540.01000000001</v>
      </c>
    </row>
    <row r="34" spans="1:15" s="96" customFormat="1" x14ac:dyDescent="0.2">
      <c r="A34" s="72"/>
      <c r="B34" s="72"/>
      <c r="C34" s="72"/>
      <c r="D34" s="123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</row>
    <row r="35" spans="1:15" s="96" customFormat="1" x14ac:dyDescent="0.2">
      <c r="A35" s="72"/>
      <c r="B35" s="72"/>
      <c r="C35" s="72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</row>
    <row r="36" spans="1:15" s="95" customFormat="1" x14ac:dyDescent="0.2">
      <c r="A36" s="300" t="s">
        <v>40</v>
      </c>
      <c r="B36" s="300"/>
      <c r="C36" s="300"/>
      <c r="D36" s="118"/>
      <c r="E36" s="118">
        <f>E33</f>
        <v>107156.14</v>
      </c>
      <c r="F36" s="118"/>
      <c r="G36" s="118">
        <f>E36+G33</f>
        <v>195907.89500000002</v>
      </c>
      <c r="H36" s="118"/>
      <c r="I36" s="118">
        <f>G36+I33</f>
        <v>272084.29000000004</v>
      </c>
      <c r="J36" s="118"/>
      <c r="K36" s="118">
        <f>I36+K33</f>
        <v>360228.07000000007</v>
      </c>
      <c r="L36" s="118"/>
      <c r="M36" s="118">
        <f>K36+M33</f>
        <v>414190.96000000008</v>
      </c>
      <c r="N36" s="118"/>
      <c r="O36" s="118">
        <f>M36+O33</f>
        <v>533730.97000000009</v>
      </c>
    </row>
    <row r="37" spans="1:15" s="96" customFormat="1" x14ac:dyDescent="0.2">
      <c r="A37" s="72"/>
      <c r="B37" s="72"/>
      <c r="C37" s="72"/>
      <c r="D37" s="123"/>
      <c r="E37" s="123">
        <f>E36/N39</f>
        <v>0.20076807609646483</v>
      </c>
      <c r="F37" s="123"/>
      <c r="G37" s="123">
        <f>G36/N39</f>
        <v>0.36705363940188818</v>
      </c>
      <c r="H37" s="123"/>
      <c r="I37" s="123">
        <f>I36/N39</f>
        <v>0.50977796922670604</v>
      </c>
      <c r="J37" s="123"/>
      <c r="K37" s="123">
        <f>K36/N39</f>
        <v>0.67492442868735913</v>
      </c>
      <c r="L37" s="123"/>
      <c r="M37" s="123">
        <f>M36/N39</f>
        <v>0.77602946668056383</v>
      </c>
      <c r="N37" s="123"/>
      <c r="O37" s="123">
        <f>O36/N39</f>
        <v>1</v>
      </c>
    </row>
    <row r="38" spans="1:15" s="96" customFormat="1" x14ac:dyDescent="0.2">
      <c r="A38" s="72"/>
      <c r="B38" s="72"/>
      <c r="C38" s="72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</row>
    <row r="39" spans="1:15" s="97" customFormat="1" ht="14.4" customHeight="1" x14ac:dyDescent="0.2">
      <c r="A39" s="296" t="s">
        <v>33</v>
      </c>
      <c r="B39" s="297"/>
      <c r="C39" s="297"/>
      <c r="D39" s="297"/>
      <c r="E39" s="297"/>
      <c r="F39" s="297"/>
      <c r="G39" s="297"/>
      <c r="H39" s="297"/>
      <c r="I39" s="297"/>
      <c r="J39" s="297"/>
      <c r="K39" s="297"/>
      <c r="L39" s="297"/>
      <c r="M39" s="297"/>
      <c r="N39" s="298">
        <f>C11+C13+C15+C17+C19+C21+C23+C25+C27+C29+C31</f>
        <v>533730.97000000009</v>
      </c>
      <c r="O39" s="299"/>
    </row>
    <row r="40" spans="1:15" x14ac:dyDescent="0.2">
      <c r="C40" s="76"/>
      <c r="D40" s="76"/>
      <c r="E40" s="76"/>
      <c r="F40" s="76"/>
      <c r="G40" s="76"/>
      <c r="H40" s="76"/>
      <c r="I40" s="76"/>
      <c r="J40" s="76"/>
      <c r="K40" s="76"/>
      <c r="L40" s="76"/>
      <c r="M40" s="76"/>
      <c r="N40" s="76"/>
      <c r="O40" s="76"/>
    </row>
    <row r="41" spans="1:15" x14ac:dyDescent="0.2">
      <c r="C41" s="76"/>
      <c r="D41" s="76"/>
      <c r="E41" s="76"/>
      <c r="F41" s="76"/>
      <c r="G41" s="76"/>
      <c r="H41" s="76"/>
      <c r="I41" s="76"/>
      <c r="J41" s="76"/>
      <c r="K41" s="76"/>
      <c r="L41" s="76"/>
      <c r="M41" s="76"/>
      <c r="N41" s="76"/>
      <c r="O41" s="76"/>
    </row>
    <row r="42" spans="1:15" x14ac:dyDescent="0.2">
      <c r="B42" s="98"/>
      <c r="C42" s="99"/>
      <c r="D42" s="76"/>
      <c r="E42" s="76"/>
      <c r="F42" s="76"/>
      <c r="G42" s="76"/>
      <c r="H42" s="76"/>
      <c r="I42" s="76"/>
      <c r="J42" s="76"/>
      <c r="K42" s="76"/>
      <c r="L42" s="76"/>
      <c r="M42" s="76"/>
      <c r="N42" s="76"/>
      <c r="O42" s="76"/>
    </row>
    <row r="43" spans="1:15" x14ac:dyDescent="0.2">
      <c r="C43" s="76"/>
      <c r="D43" s="100"/>
      <c r="E43" s="100"/>
      <c r="F43" s="100"/>
      <c r="G43" s="100"/>
      <c r="H43" s="100"/>
      <c r="I43" s="100"/>
      <c r="J43" s="100"/>
      <c r="K43" s="100"/>
      <c r="L43" s="100"/>
      <c r="M43" s="100"/>
      <c r="N43" s="100"/>
      <c r="O43" s="100"/>
    </row>
    <row r="44" spans="1:15" x14ac:dyDescent="0.2"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6"/>
    </row>
  </sheetData>
  <mergeCells count="17">
    <mergeCell ref="A4:O4"/>
    <mergeCell ref="A1:O1"/>
    <mergeCell ref="A2:O3"/>
    <mergeCell ref="A33:C33"/>
    <mergeCell ref="A5:O5"/>
    <mergeCell ref="L8:M8"/>
    <mergeCell ref="N8:O8"/>
    <mergeCell ref="D8:E8"/>
    <mergeCell ref="F8:G8"/>
    <mergeCell ref="H8:I8"/>
    <mergeCell ref="A39:M39"/>
    <mergeCell ref="N39:O39"/>
    <mergeCell ref="A36:C36"/>
    <mergeCell ref="A8:A9"/>
    <mergeCell ref="B8:B9"/>
    <mergeCell ref="C8:C9"/>
    <mergeCell ref="J8:K8"/>
  </mergeCells>
  <phoneticPr fontId="8" type="noConversion"/>
  <printOptions horizontalCentered="1"/>
  <pageMargins left="0.51181102362204722" right="0.51181102362204722" top="1.2598425196850394" bottom="1.2598425196850394" header="0.31496062992125984" footer="0.31496062992125984"/>
  <pageSetup paperSize="9" scale="70" fitToHeight="3" orientation="landscape" horizontalDpi="360" verticalDpi="360" r:id="rId1"/>
  <headerFooter>
    <oddHeader>&amp;C&amp;G</oddHeader>
    <oddFooter>&amp;C&amp;G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5" tint="-0.249977111117893"/>
  </sheetPr>
  <dimension ref="A1:F61"/>
  <sheetViews>
    <sheetView tabSelected="1" view="pageBreakPreview" topLeftCell="B1" zoomScale="85" zoomScaleNormal="100" zoomScaleSheetLayoutView="85" workbookViewId="0">
      <selection activeCell="F9" sqref="F9"/>
    </sheetView>
  </sheetViews>
  <sheetFormatPr defaultColWidth="9.109375" defaultRowHeight="13.8" x14ac:dyDescent="0.25"/>
  <cols>
    <col min="1" max="1" width="1.109375" style="35" hidden="1" customWidth="1"/>
    <col min="2" max="2" width="75.6640625" style="35" customWidth="1"/>
    <col min="3" max="3" width="10.109375" style="37" bestFit="1" customWidth="1"/>
    <col min="4" max="4" width="16.88671875" style="37" customWidth="1"/>
    <col min="5" max="5" width="11.44140625" style="35" customWidth="1"/>
    <col min="6" max="6" width="62.5546875" style="35" customWidth="1"/>
    <col min="7" max="16384" width="9.109375" style="35"/>
  </cols>
  <sheetData>
    <row r="1" spans="2:6" s="5" customFormat="1" ht="6.75" customHeight="1" x14ac:dyDescent="0.25">
      <c r="C1" s="6"/>
      <c r="D1" s="6"/>
    </row>
    <row r="2" spans="2:6" s="5" customFormat="1" ht="17.399999999999999" x14ac:dyDescent="0.3">
      <c r="B2" s="320" t="s">
        <v>67</v>
      </c>
      <c r="C2" s="320"/>
      <c r="D2" s="320"/>
    </row>
    <row r="3" spans="2:6" s="7" customFormat="1" ht="10.199999999999999" x14ac:dyDescent="0.2">
      <c r="B3" s="8"/>
      <c r="C3" s="8"/>
      <c r="D3" s="8"/>
    </row>
    <row r="4" spans="2:6" s="5" customFormat="1" ht="13.2" x14ac:dyDescent="0.25">
      <c r="B4" s="321" t="s">
        <v>102</v>
      </c>
      <c r="C4" s="321"/>
      <c r="D4" s="321"/>
    </row>
    <row r="5" spans="2:6" s="5" customFormat="1" ht="13.2" x14ac:dyDescent="0.25">
      <c r="B5" s="9"/>
      <c r="C5" s="9"/>
      <c r="D5" s="9"/>
    </row>
    <row r="6" spans="2:6" s="5" customFormat="1" ht="27.6" customHeight="1" x14ac:dyDescent="0.25">
      <c r="B6" s="324" t="str">
        <f>'CRONOGRAMA SEM DESON'!A1</f>
        <v>RECONSTRUÇÃO DO MURO E SERVIÇOS COMPLEMENTARES DA ESCOLA OTAVIANO BASÍLIO HERÁCLIO DO RÊGO</v>
      </c>
      <c r="C6" s="324"/>
      <c r="D6" s="324"/>
    </row>
    <row r="7" spans="2:6" s="2" customFormat="1" ht="16.2" customHeight="1" x14ac:dyDescent="0.25">
      <c r="B7" s="322" t="str">
        <f>'ORÇAMENTO SEM DESON'!A4</f>
        <v>LOCALIZAÇÃO: LIMOEIRO - PE</v>
      </c>
      <c r="C7" s="322"/>
      <c r="D7" s="322"/>
    </row>
    <row r="8" spans="2:6" s="2" customFormat="1" ht="31.2" customHeight="1" x14ac:dyDescent="0.25">
      <c r="B8" s="322" t="str">
        <f>'ORÇAMENTO SEM DESON'!A5</f>
        <v>FONTES DE PREÇOS: SINAPI JUNHO-2023 -  SEINFRA 027 MARÇO/2021 - SEM DESONERAÇÃO (BDI = 24,20%)</v>
      </c>
      <c r="C8" s="322"/>
      <c r="D8" s="322"/>
    </row>
    <row r="9" spans="2:6" s="5" customFormat="1" ht="18.75" customHeight="1" x14ac:dyDescent="0.25">
      <c r="B9" s="323" t="str">
        <f>'ORÇAMENTO SEM DESON'!A6</f>
        <v>DATA: JULHO/2023</v>
      </c>
      <c r="C9" s="323"/>
      <c r="D9" s="323"/>
    </row>
    <row r="10" spans="2:6" s="5" customFormat="1" ht="13.2" x14ac:dyDescent="0.25">
      <c r="B10" s="10"/>
      <c r="C10" s="11"/>
      <c r="D10" s="11"/>
    </row>
    <row r="11" spans="2:6" s="5" customFormat="1" ht="22.5" customHeight="1" x14ac:dyDescent="0.25">
      <c r="B11" s="134" t="s">
        <v>41</v>
      </c>
      <c r="C11" s="134" t="s">
        <v>42</v>
      </c>
      <c r="D11" s="134" t="s">
        <v>43</v>
      </c>
      <c r="F11" s="12" t="s">
        <v>44</v>
      </c>
    </row>
    <row r="12" spans="2:6" s="5" customFormat="1" x14ac:dyDescent="0.25">
      <c r="B12" s="13"/>
      <c r="C12" s="14"/>
      <c r="D12" s="14"/>
    </row>
    <row r="13" spans="2:6" s="5" customFormat="1" x14ac:dyDescent="0.25">
      <c r="B13" s="15" t="s">
        <v>45</v>
      </c>
      <c r="C13" s="16" t="s">
        <v>46</v>
      </c>
      <c r="D13" s="17">
        <v>0.04</v>
      </c>
      <c r="E13" s="5" t="s">
        <v>68</v>
      </c>
      <c r="F13" s="18" t="s">
        <v>69</v>
      </c>
    </row>
    <row r="14" spans="2:6" s="5" customFormat="1" x14ac:dyDescent="0.25">
      <c r="B14" s="15"/>
      <c r="C14" s="16"/>
      <c r="D14" s="19"/>
    </row>
    <row r="15" spans="2:6" s="5" customFormat="1" x14ac:dyDescent="0.25">
      <c r="B15" s="15" t="s">
        <v>47</v>
      </c>
      <c r="C15" s="16" t="s">
        <v>48</v>
      </c>
      <c r="D15" s="17">
        <v>1.23E-2</v>
      </c>
      <c r="E15" s="5" t="s">
        <v>68</v>
      </c>
      <c r="F15" s="18" t="s">
        <v>70</v>
      </c>
    </row>
    <row r="16" spans="2:6" s="5" customFormat="1" x14ac:dyDescent="0.25">
      <c r="B16" s="15"/>
      <c r="C16" s="16"/>
      <c r="D16" s="20"/>
    </row>
    <row r="17" spans="2:6" s="5" customFormat="1" x14ac:dyDescent="0.25">
      <c r="B17" s="15" t="s">
        <v>49</v>
      </c>
      <c r="C17" s="16" t="s">
        <v>50</v>
      </c>
      <c r="D17" s="17">
        <v>1.2699999999999999E-2</v>
      </c>
      <c r="E17" s="5" t="s">
        <v>68</v>
      </c>
      <c r="F17" s="18" t="s">
        <v>71</v>
      </c>
    </row>
    <row r="18" spans="2:6" s="5" customFormat="1" x14ac:dyDescent="0.25">
      <c r="B18" s="15"/>
      <c r="C18" s="16"/>
      <c r="D18" s="20"/>
    </row>
    <row r="19" spans="2:6" s="5" customFormat="1" x14ac:dyDescent="0.25">
      <c r="B19" s="21" t="s">
        <v>72</v>
      </c>
      <c r="C19" s="22" t="s">
        <v>73</v>
      </c>
      <c r="D19" s="23">
        <v>8.0000000000000002E-3</v>
      </c>
      <c r="E19" s="5" t="s">
        <v>74</v>
      </c>
      <c r="F19" s="313" t="s">
        <v>75</v>
      </c>
    </row>
    <row r="20" spans="2:6" s="5" customFormat="1" x14ac:dyDescent="0.25">
      <c r="B20" s="15"/>
      <c r="C20" s="16"/>
      <c r="D20" s="24"/>
      <c r="F20" s="314"/>
    </row>
    <row r="21" spans="2:6" s="5" customFormat="1" x14ac:dyDescent="0.25">
      <c r="B21" s="15" t="s">
        <v>51</v>
      </c>
      <c r="C21" s="16" t="s">
        <v>51</v>
      </c>
      <c r="D21" s="24">
        <v>0.03</v>
      </c>
    </row>
    <row r="22" spans="2:6" s="5" customFormat="1" x14ac:dyDescent="0.25">
      <c r="B22" s="15" t="s">
        <v>52</v>
      </c>
      <c r="C22" s="16" t="s">
        <v>53</v>
      </c>
      <c r="D22" s="24">
        <v>3.5000000000000003E-2</v>
      </c>
      <c r="E22" s="25">
        <f>0.05*0.4</f>
        <v>2.0000000000000004E-2</v>
      </c>
    </row>
    <row r="23" spans="2:6" s="5" customFormat="1" x14ac:dyDescent="0.25">
      <c r="B23" s="15" t="s">
        <v>54</v>
      </c>
      <c r="C23" s="16" t="s">
        <v>54</v>
      </c>
      <c r="D23" s="24">
        <v>6.4999999999999997E-3</v>
      </c>
    </row>
    <row r="24" spans="2:6" s="60" customFormat="1" hidden="1" x14ac:dyDescent="0.25">
      <c r="B24" s="57" t="s">
        <v>55</v>
      </c>
      <c r="C24" s="58" t="s">
        <v>56</v>
      </c>
      <c r="D24" s="59"/>
      <c r="E24" s="60" t="s">
        <v>57</v>
      </c>
    </row>
    <row r="25" spans="2:6" s="5" customFormat="1" x14ac:dyDescent="0.25">
      <c r="B25" s="15" t="s">
        <v>76</v>
      </c>
      <c r="C25" s="16" t="s">
        <v>58</v>
      </c>
      <c r="D25" s="17">
        <f>SUM(D21:D24)</f>
        <v>7.1500000000000008E-2</v>
      </c>
    </row>
    <row r="26" spans="2:6" s="5" customFormat="1" x14ac:dyDescent="0.25">
      <c r="B26" s="15"/>
      <c r="C26" s="16"/>
      <c r="D26" s="24"/>
    </row>
    <row r="27" spans="2:6" s="5" customFormat="1" x14ac:dyDescent="0.25">
      <c r="B27" s="15" t="s">
        <v>59</v>
      </c>
      <c r="C27" s="16" t="s">
        <v>60</v>
      </c>
      <c r="D27" s="17">
        <v>7.3999999999999996E-2</v>
      </c>
      <c r="E27" s="5" t="s">
        <v>77</v>
      </c>
      <c r="F27" s="18" t="s">
        <v>78</v>
      </c>
    </row>
    <row r="28" spans="2:6" s="5" customFormat="1" x14ac:dyDescent="0.25">
      <c r="B28" s="13"/>
      <c r="C28" s="14"/>
      <c r="D28" s="26"/>
    </row>
    <row r="29" spans="2:6" s="5" customFormat="1" x14ac:dyDescent="0.25">
      <c r="B29" s="27" t="s">
        <v>61</v>
      </c>
      <c r="C29" s="28"/>
      <c r="D29" s="17">
        <f>ROUND((((1+D13+D19+D17)*(1+D15)*(1+D27))/(1-D25))-1,4)</f>
        <v>0.24199999999999999</v>
      </c>
      <c r="E29" s="29" t="s">
        <v>101</v>
      </c>
    </row>
    <row r="30" spans="2:6" s="5" customFormat="1" ht="13.2" x14ac:dyDescent="0.25">
      <c r="C30" s="6"/>
      <c r="D30" s="30"/>
      <c r="F30" s="18" t="s">
        <v>79</v>
      </c>
    </row>
    <row r="31" spans="2:6" s="5" customFormat="1" ht="13.2" x14ac:dyDescent="0.25">
      <c r="C31" s="6"/>
      <c r="D31" s="6"/>
    </row>
    <row r="32" spans="2:6" s="5" customFormat="1" ht="13.2" x14ac:dyDescent="0.25">
      <c r="C32" s="6"/>
      <c r="D32" s="6"/>
    </row>
    <row r="33" spans="2:4" s="5" customFormat="1" ht="15" x14ac:dyDescent="0.25">
      <c r="B33" s="31" t="s">
        <v>62</v>
      </c>
      <c r="C33" s="6"/>
      <c r="D33" s="6"/>
    </row>
    <row r="34" spans="2:4" x14ac:dyDescent="0.25">
      <c r="B34" s="32"/>
      <c r="C34" s="33"/>
      <c r="D34" s="34"/>
    </row>
    <row r="35" spans="2:4" x14ac:dyDescent="0.25">
      <c r="B35" s="36"/>
      <c r="D35" s="38"/>
    </row>
    <row r="36" spans="2:4" x14ac:dyDescent="0.25">
      <c r="B36" s="36"/>
      <c r="D36" s="38"/>
    </row>
    <row r="37" spans="2:4" x14ac:dyDescent="0.25">
      <c r="B37" s="36"/>
      <c r="D37" s="38"/>
    </row>
    <row r="38" spans="2:4" x14ac:dyDescent="0.25">
      <c r="B38" s="36"/>
      <c r="D38" s="38"/>
    </row>
    <row r="39" spans="2:4" x14ac:dyDescent="0.25">
      <c r="B39" s="39"/>
      <c r="C39" s="40"/>
      <c r="D39" s="41"/>
    </row>
    <row r="40" spans="2:4" x14ac:dyDescent="0.25">
      <c r="B40" s="42"/>
    </row>
    <row r="41" spans="2:4" x14ac:dyDescent="0.25">
      <c r="B41" s="42" t="s">
        <v>63</v>
      </c>
    </row>
    <row r="42" spans="2:4" s="43" customFormat="1" x14ac:dyDescent="0.25">
      <c r="B42" s="315" t="s">
        <v>64</v>
      </c>
      <c r="C42" s="315"/>
      <c r="D42" s="315"/>
    </row>
    <row r="43" spans="2:4" s="43" customFormat="1" ht="48" customHeight="1" x14ac:dyDescent="0.25">
      <c r="B43" s="316" t="s">
        <v>190</v>
      </c>
      <c r="C43" s="316"/>
      <c r="D43" s="316"/>
    </row>
    <row r="46" spans="2:4" x14ac:dyDescent="0.25">
      <c r="B46" s="35" t="s">
        <v>65</v>
      </c>
    </row>
    <row r="47" spans="2:4" ht="135" customHeight="1" x14ac:dyDescent="0.25">
      <c r="B47" s="317" t="s">
        <v>80</v>
      </c>
      <c r="C47" s="318"/>
      <c r="D47" s="319"/>
    </row>
    <row r="59" spans="2:4" s="5" customFormat="1" ht="13.2" x14ac:dyDescent="0.25">
      <c r="C59" s="6"/>
      <c r="D59" s="6"/>
    </row>
    <row r="60" spans="2:4" s="5" customFormat="1" ht="13.2" x14ac:dyDescent="0.25">
      <c r="C60" s="6"/>
      <c r="D60" s="6"/>
    </row>
    <row r="61" spans="2:4" x14ac:dyDescent="0.25">
      <c r="B61" s="35" t="s">
        <v>66</v>
      </c>
    </row>
  </sheetData>
  <mergeCells count="10">
    <mergeCell ref="F19:F20"/>
    <mergeCell ref="B42:D42"/>
    <mergeCell ref="B43:D43"/>
    <mergeCell ref="B47:D47"/>
    <mergeCell ref="B2:D2"/>
    <mergeCell ref="B4:D4"/>
    <mergeCell ref="B7:D7"/>
    <mergeCell ref="B8:D8"/>
    <mergeCell ref="B9:D9"/>
    <mergeCell ref="B6:D6"/>
  </mergeCells>
  <printOptions horizontalCentered="1"/>
  <pageMargins left="0.59055118110236227" right="0.59055118110236227" top="1.5748031496062993" bottom="0.9055118110236221" header="0.39370078740157483" footer="0.39370078740157483"/>
  <pageSetup paperSize="9" scale="87" orientation="portrait" horizontalDpi="360" verticalDpi="360" r:id="rId1"/>
  <headerFooter>
    <oddHeader>&amp;C&amp;G</oddHeader>
    <oddFooter>&amp;C
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Equation.3" shapeId="3073" r:id="rId5">
          <objectPr defaultSize="0" autoPict="0" r:id="rId6">
            <anchor moveWithCells="1" sizeWithCells="1">
              <from>
                <xdr:col>1</xdr:col>
                <xdr:colOff>38100</xdr:colOff>
                <xdr:row>34</xdr:row>
                <xdr:rowOff>0</xdr:rowOff>
              </from>
              <to>
                <xdr:col>1</xdr:col>
                <xdr:colOff>4671060</xdr:colOff>
                <xdr:row>38</xdr:row>
                <xdr:rowOff>7620</xdr:rowOff>
              </to>
            </anchor>
          </objectPr>
        </oleObject>
      </mc:Choice>
      <mc:Fallback>
        <oleObject progId="Equation.3" shapeId="3073" r:id="rId5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5" tint="0.39997558519241921"/>
    <pageSetUpPr fitToPage="1"/>
  </sheetPr>
  <dimension ref="A1:L321"/>
  <sheetViews>
    <sheetView view="pageBreakPreview" topLeftCell="A46" zoomScale="115" zoomScaleNormal="100" zoomScaleSheetLayoutView="115" workbookViewId="0">
      <selection activeCell="A6" sqref="A6:J6"/>
    </sheetView>
  </sheetViews>
  <sheetFormatPr defaultColWidth="9.109375" defaultRowHeight="10.199999999999999" x14ac:dyDescent="0.2"/>
  <cols>
    <col min="1" max="1" width="6.44140625" style="79" customWidth="1"/>
    <col min="2" max="2" width="12" style="78" hidden="1" customWidth="1"/>
    <col min="3" max="3" width="10" style="65" hidden="1" customWidth="1"/>
    <col min="4" max="4" width="45.6640625" style="80" customWidth="1"/>
    <col min="5" max="5" width="7.33203125" style="78" bestFit="1" customWidth="1"/>
    <col min="6" max="6" width="9.33203125" style="81" customWidth="1"/>
    <col min="7" max="7" width="13.33203125" style="78" bestFit="1" customWidth="1"/>
    <col min="8" max="8" width="10" style="78" customWidth="1"/>
    <col min="9" max="9" width="12.88671875" style="82" bestFit="1" customWidth="1"/>
    <col min="10" max="10" width="11.33203125" style="78" customWidth="1"/>
    <col min="11" max="11" width="13.109375" style="45" customWidth="1"/>
    <col min="12" max="12" width="9.109375" style="45" customWidth="1"/>
    <col min="13" max="13" width="13.44140625" style="45" bestFit="1" customWidth="1"/>
    <col min="14" max="16384" width="9.109375" style="45"/>
  </cols>
  <sheetData>
    <row r="1" spans="1:11" ht="37.950000000000003" customHeight="1" x14ac:dyDescent="0.3">
      <c r="A1" s="326" t="str">
        <f>'ORÇAMENTO SEM DESON'!A1:I1</f>
        <v>RECONSTRUÇÃO DO MURO E SERVIÇOS COMPLEMENTARES DA ESCOLA OTAVIANO BASÍLIO HERÁCLIO DO RÊGO</v>
      </c>
      <c r="B1" s="326"/>
      <c r="C1" s="326"/>
      <c r="D1" s="326"/>
      <c r="E1" s="326"/>
      <c r="F1" s="326"/>
      <c r="G1" s="326"/>
      <c r="H1" s="326"/>
      <c r="I1" s="326"/>
      <c r="J1" s="326"/>
      <c r="K1" s="181"/>
    </row>
    <row r="2" spans="1:11" ht="12.6" customHeight="1" x14ac:dyDescent="0.2">
      <c r="A2" s="182"/>
      <c r="B2" s="183"/>
      <c r="C2" s="183"/>
      <c r="D2" s="183"/>
      <c r="E2" s="183"/>
      <c r="F2" s="183"/>
      <c r="G2" s="183"/>
      <c r="H2" s="183"/>
      <c r="I2" s="183"/>
      <c r="J2" s="184"/>
    </row>
    <row r="3" spans="1:11" ht="15.6" x14ac:dyDescent="0.3">
      <c r="A3" s="325" t="s">
        <v>19</v>
      </c>
      <c r="B3" s="325"/>
      <c r="C3" s="325"/>
      <c r="D3" s="325"/>
      <c r="E3" s="325"/>
      <c r="F3" s="325"/>
      <c r="G3" s="325"/>
      <c r="H3" s="325"/>
      <c r="I3" s="325"/>
      <c r="J3" s="325"/>
      <c r="K3" s="181"/>
    </row>
    <row r="4" spans="1:11" ht="13.95" customHeight="1" x14ac:dyDescent="0.2">
      <c r="A4" s="327" t="str">
        <f>'ORÇAMENTO SEM DESON'!A4</f>
        <v>LOCALIZAÇÃO: LIMOEIRO - PE</v>
      </c>
      <c r="B4" s="328"/>
      <c r="C4" s="328"/>
      <c r="D4" s="328"/>
      <c r="E4" s="328"/>
      <c r="F4" s="328"/>
      <c r="G4" s="328"/>
      <c r="H4" s="328"/>
      <c r="I4" s="328"/>
      <c r="J4" s="329"/>
    </row>
    <row r="5" spans="1:11" ht="18" customHeight="1" x14ac:dyDescent="0.2">
      <c r="A5" s="330" t="s">
        <v>370</v>
      </c>
      <c r="B5" s="331"/>
      <c r="C5" s="331"/>
      <c r="D5" s="331"/>
      <c r="E5" s="331"/>
      <c r="F5" s="331"/>
      <c r="G5" s="331"/>
      <c r="H5" s="331"/>
      <c r="I5" s="331"/>
      <c r="J5" s="332"/>
    </row>
    <row r="6" spans="1:11" ht="14.4" customHeight="1" x14ac:dyDescent="0.2">
      <c r="A6" s="330" t="str">
        <f>'ORÇAMENTO SEM DESON'!A6</f>
        <v>DATA: JULHO/2023</v>
      </c>
      <c r="B6" s="331"/>
      <c r="C6" s="331"/>
      <c r="D6" s="331"/>
      <c r="E6" s="331"/>
      <c r="F6" s="331"/>
      <c r="G6" s="331"/>
      <c r="H6" s="331"/>
      <c r="I6" s="331"/>
      <c r="J6" s="332"/>
    </row>
    <row r="7" spans="1:11" x14ac:dyDescent="0.2">
      <c r="A7" s="189"/>
      <c r="B7" s="189"/>
      <c r="C7" s="189"/>
      <c r="D7" s="189"/>
      <c r="E7" s="189"/>
      <c r="F7" s="189"/>
      <c r="G7" s="189"/>
      <c r="H7" s="189"/>
      <c r="I7" s="189"/>
      <c r="J7" s="189"/>
    </row>
    <row r="8" spans="1:11" s="46" customFormat="1" ht="16.5" customHeight="1" x14ac:dyDescent="0.2">
      <c r="A8" s="159" t="s">
        <v>0</v>
      </c>
      <c r="B8" s="159" t="s">
        <v>30</v>
      </c>
      <c r="C8" s="160" t="s">
        <v>12</v>
      </c>
      <c r="D8" s="159" t="s">
        <v>31</v>
      </c>
      <c r="E8" s="159" t="s">
        <v>1</v>
      </c>
      <c r="F8" s="161" t="s">
        <v>2</v>
      </c>
      <c r="G8" s="161" t="s">
        <v>28</v>
      </c>
      <c r="H8" s="161" t="s">
        <v>29</v>
      </c>
      <c r="I8" s="190" t="s">
        <v>3</v>
      </c>
      <c r="J8" s="161" t="s">
        <v>4</v>
      </c>
      <c r="K8" s="185"/>
    </row>
    <row r="9" spans="1:11" s="48" customFormat="1" x14ac:dyDescent="0.2">
      <c r="A9" s="191"/>
      <c r="B9" s="191"/>
      <c r="C9" s="192"/>
      <c r="D9" s="193"/>
      <c r="E9" s="191"/>
      <c r="F9" s="194"/>
      <c r="G9" s="194"/>
      <c r="H9" s="194"/>
      <c r="I9" s="195"/>
      <c r="J9" s="194"/>
      <c r="K9" s="186"/>
    </row>
    <row r="10" spans="1:11" s="69" customFormat="1" x14ac:dyDescent="0.2">
      <c r="A10" s="163" t="str">
        <f>'ORÇAMENTO SEM DESON'!A9</f>
        <v>1.0</v>
      </c>
      <c r="B10" s="164"/>
      <c r="C10" s="165"/>
      <c r="D10" s="196" t="str">
        <f>'ORÇAMENTO SEM DESON'!D9</f>
        <v>SERVIÇOS PRELIMINARES</v>
      </c>
      <c r="E10" s="164"/>
      <c r="F10" s="197"/>
      <c r="G10" s="197"/>
      <c r="H10" s="197"/>
      <c r="I10" s="198"/>
      <c r="J10" s="197"/>
      <c r="K10" s="187"/>
    </row>
    <row r="11" spans="1:11" s="48" customFormat="1" x14ac:dyDescent="0.2">
      <c r="A11" s="191"/>
      <c r="B11" s="191"/>
      <c r="C11" s="192"/>
      <c r="D11" s="193"/>
      <c r="E11" s="191"/>
      <c r="F11" s="194"/>
      <c r="G11" s="194"/>
      <c r="H11" s="194"/>
      <c r="I11" s="195"/>
      <c r="J11" s="194"/>
      <c r="K11" s="186"/>
    </row>
    <row r="12" spans="1:11" s="49" customFormat="1" ht="30.6" x14ac:dyDescent="0.2">
      <c r="A12" s="199" t="str">
        <f>'ORÇAMENTO SEM DESON'!A10</f>
        <v>1.1</v>
      </c>
      <c r="B12" s="199"/>
      <c r="C12" s="200"/>
      <c r="D12" s="201" t="str">
        <f>'ORÇAMENTO SEM DESON'!D10</f>
        <v>PLACA DE OBRA (PARA CONSTRUCAO CIVIL) EM CHAPA GALVANIZADA *N. 22*, ADESIVADA DE *2,4 X 1,2* M (SEM POSTES PARA FIXACAO)</v>
      </c>
      <c r="E12" s="199" t="str">
        <f>'ORÇAMENTO SEM DESON'!E10</f>
        <v>m²</v>
      </c>
      <c r="F12" s="202"/>
      <c r="G12" s="202"/>
      <c r="H12" s="202"/>
      <c r="I12" s="203"/>
      <c r="J12" s="202"/>
      <c r="K12" s="188"/>
    </row>
    <row r="13" spans="1:11" x14ac:dyDescent="0.2">
      <c r="A13" s="191"/>
      <c r="B13" s="191"/>
      <c r="C13" s="192"/>
      <c r="D13" s="204"/>
      <c r="E13" s="170"/>
      <c r="F13" s="173" t="s">
        <v>112</v>
      </c>
      <c r="G13" s="173" t="s">
        <v>121</v>
      </c>
      <c r="H13" s="173"/>
      <c r="I13" s="173"/>
      <c r="J13" s="205"/>
      <c r="K13" s="181"/>
    </row>
    <row r="14" spans="1:11" x14ac:dyDescent="0.2">
      <c r="A14" s="191"/>
      <c r="B14" s="191"/>
      <c r="C14" s="192"/>
      <c r="D14" s="204"/>
      <c r="E14" s="170" t="s">
        <v>8</v>
      </c>
      <c r="F14" s="173">
        <v>3</v>
      </c>
      <c r="G14" s="173">
        <v>1.5</v>
      </c>
      <c r="H14" s="173"/>
      <c r="I14" s="173"/>
      <c r="J14" s="205">
        <f>ROUND(PRODUCT(F14:I14),2)</f>
        <v>4.5</v>
      </c>
      <c r="K14" s="181"/>
    </row>
    <row r="15" spans="1:11" x14ac:dyDescent="0.2">
      <c r="A15" s="191"/>
      <c r="B15" s="191"/>
      <c r="C15" s="192"/>
      <c r="D15" s="206"/>
      <c r="E15" s="170"/>
      <c r="F15" s="205"/>
      <c r="G15" s="205"/>
      <c r="H15" s="205"/>
      <c r="I15" s="203" t="str">
        <f>"Total item "&amp;A12</f>
        <v>Total item 1.1</v>
      </c>
      <c r="J15" s="202">
        <f>SUM(J14:J14)</f>
        <v>4.5</v>
      </c>
      <c r="K15" s="181"/>
    </row>
    <row r="16" spans="1:11" s="48" customFormat="1" x14ac:dyDescent="0.2">
      <c r="A16" s="191"/>
      <c r="B16" s="191"/>
      <c r="C16" s="192"/>
      <c r="D16" s="193"/>
      <c r="E16" s="191"/>
      <c r="F16" s="194"/>
      <c r="G16" s="194"/>
      <c r="H16" s="194"/>
      <c r="I16" s="195"/>
      <c r="J16" s="194"/>
      <c r="K16" s="186"/>
    </row>
    <row r="17" spans="1:11" s="49" customFormat="1" ht="20.399999999999999" x14ac:dyDescent="0.2">
      <c r="A17" s="199" t="str">
        <f>'ORÇAMENTO SEM DESON'!A11</f>
        <v>1.2</v>
      </c>
      <c r="B17" s="199"/>
      <c r="C17" s="200"/>
      <c r="D17" s="201" t="str">
        <f>'ORÇAMENTO SEM DESON'!D11</f>
        <v xml:space="preserve">TAPUME DE CHAPA DE MADEIRA COMPENSADA E= 6mm C/ABERTURA E PORTÃO </v>
      </c>
      <c r="E17" s="199" t="str">
        <f>'ORÇAMENTO SEM DESON'!E11</f>
        <v>m²</v>
      </c>
      <c r="F17" s="202"/>
      <c r="G17" s="202"/>
      <c r="H17" s="202"/>
      <c r="I17" s="203"/>
      <c r="J17" s="202"/>
      <c r="K17" s="188"/>
    </row>
    <row r="18" spans="1:11" x14ac:dyDescent="0.2">
      <c r="A18" s="191"/>
      <c r="B18" s="191"/>
      <c r="C18" s="192"/>
      <c r="D18" s="204"/>
      <c r="E18" s="170"/>
      <c r="F18" s="173" t="s">
        <v>112</v>
      </c>
      <c r="G18" s="173" t="s">
        <v>121</v>
      </c>
      <c r="H18" s="173"/>
      <c r="I18" s="173"/>
      <c r="J18" s="205"/>
      <c r="K18" s="181"/>
    </row>
    <row r="19" spans="1:11" x14ac:dyDescent="0.2">
      <c r="A19" s="191"/>
      <c r="B19" s="191"/>
      <c r="C19" s="192"/>
      <c r="D19" s="204"/>
      <c r="E19" s="170" t="s">
        <v>8</v>
      </c>
      <c r="F19" s="173">
        <f>F122</f>
        <v>112.27000000000001</v>
      </c>
      <c r="G19" s="173">
        <v>2.2000000000000002</v>
      </c>
      <c r="H19" s="173"/>
      <c r="I19" s="173"/>
      <c r="J19" s="205">
        <f>ROUND(PRODUCT(F19:I19),2)</f>
        <v>246.99</v>
      </c>
      <c r="K19" s="181"/>
    </row>
    <row r="20" spans="1:11" x14ac:dyDescent="0.2">
      <c r="A20" s="191"/>
      <c r="B20" s="191"/>
      <c r="C20" s="192"/>
      <c r="D20" s="206"/>
      <c r="E20" s="170"/>
      <c r="F20" s="205"/>
      <c r="G20" s="205"/>
      <c r="H20" s="205"/>
      <c r="I20" s="203" t="str">
        <f>"Total item "&amp;A17</f>
        <v>Total item 1.2</v>
      </c>
      <c r="J20" s="202">
        <f>SUM(J19:J19)</f>
        <v>246.99</v>
      </c>
      <c r="K20" s="181"/>
    </row>
    <row r="21" spans="1:11" s="48" customFormat="1" x14ac:dyDescent="0.2">
      <c r="A21" s="191"/>
      <c r="B21" s="191"/>
      <c r="C21" s="192"/>
      <c r="D21" s="193"/>
      <c r="E21" s="191"/>
      <c r="F21" s="194"/>
      <c r="G21" s="194"/>
      <c r="H21" s="194"/>
      <c r="I21" s="195"/>
      <c r="J21" s="194"/>
      <c r="K21" s="186"/>
    </row>
    <row r="22" spans="1:11" x14ac:dyDescent="0.2">
      <c r="A22" s="163" t="str">
        <f>'ORÇAMENTO SEM DESON'!A12</f>
        <v>2.0</v>
      </c>
      <c r="B22" s="164"/>
      <c r="C22" s="165"/>
      <c r="D22" s="196" t="str">
        <f>'ORÇAMENTO SEM DESON'!D12</f>
        <v>MOVIMENTAÇÃO DE TERRA</v>
      </c>
      <c r="E22" s="164"/>
      <c r="F22" s="197"/>
      <c r="G22" s="197"/>
      <c r="H22" s="197"/>
      <c r="I22" s="198"/>
      <c r="J22" s="197"/>
    </row>
    <row r="23" spans="1:11" x14ac:dyDescent="0.2">
      <c r="A23" s="191"/>
      <c r="B23" s="191"/>
      <c r="C23" s="192"/>
      <c r="D23" s="193"/>
      <c r="E23" s="191"/>
      <c r="F23" s="194"/>
      <c r="G23" s="194"/>
      <c r="H23" s="194"/>
      <c r="I23" s="195"/>
      <c r="J23" s="194"/>
    </row>
    <row r="24" spans="1:11" s="49" customFormat="1" ht="22.2" customHeight="1" x14ac:dyDescent="0.2">
      <c r="A24" s="199" t="str">
        <f>'ORÇAMENTO SEM DESON'!A13</f>
        <v>2.1</v>
      </c>
      <c r="B24" s="199"/>
      <c r="C24" s="200"/>
      <c r="D24" s="201" t="str">
        <f>'ORÇAMENTO SEM DESON'!D13</f>
        <v>DEMOLIÇÃO DE PISO CIMENTADO SOBRE LASTRO DE CONCRETO</v>
      </c>
      <c r="E24" s="199" t="str">
        <f>'ORÇAMENTO SEM DESON'!E13</f>
        <v>m³</v>
      </c>
      <c r="F24" s="202"/>
      <c r="G24" s="202"/>
      <c r="H24" s="202"/>
      <c r="I24" s="203"/>
      <c r="J24" s="202"/>
      <c r="K24" s="188"/>
    </row>
    <row r="25" spans="1:11" x14ac:dyDescent="0.2">
      <c r="A25" s="191"/>
      <c r="B25" s="191"/>
      <c r="C25" s="192"/>
      <c r="D25" s="204"/>
      <c r="E25" s="170"/>
      <c r="F25" s="173" t="s">
        <v>112</v>
      </c>
      <c r="G25" s="173" t="s">
        <v>121</v>
      </c>
      <c r="H25" s="173" t="s">
        <v>122</v>
      </c>
      <c r="I25" s="173" t="s">
        <v>106</v>
      </c>
      <c r="J25" s="205"/>
      <c r="K25" s="181"/>
    </row>
    <row r="26" spans="1:11" x14ac:dyDescent="0.2">
      <c r="A26" s="191"/>
      <c r="B26" s="191"/>
      <c r="C26" s="192"/>
      <c r="D26" s="204" t="s">
        <v>230</v>
      </c>
      <c r="E26" s="170"/>
      <c r="F26" s="173">
        <v>42.25</v>
      </c>
      <c r="G26" s="173">
        <v>1.4</v>
      </c>
      <c r="H26" s="205">
        <v>0.08</v>
      </c>
      <c r="I26" s="207"/>
      <c r="J26" s="205">
        <f t="shared" ref="J26:J28" si="0">ROUND(PRODUCT(F26:I26),2)</f>
        <v>4.7300000000000004</v>
      </c>
    </row>
    <row r="27" spans="1:11" x14ac:dyDescent="0.2">
      <c r="A27" s="191"/>
      <c r="B27" s="191"/>
      <c r="C27" s="192"/>
      <c r="D27" s="204" t="s">
        <v>231</v>
      </c>
      <c r="E27" s="170"/>
      <c r="F27" s="173">
        <v>4.7300000000000004</v>
      </c>
      <c r="G27" s="173">
        <v>4.5999999999999996</v>
      </c>
      <c r="H27" s="205">
        <v>0.08</v>
      </c>
      <c r="I27" s="207"/>
      <c r="J27" s="205">
        <f t="shared" si="0"/>
        <v>1.74</v>
      </c>
    </row>
    <row r="28" spans="1:11" x14ac:dyDescent="0.2">
      <c r="A28" s="191"/>
      <c r="B28" s="191"/>
      <c r="C28" s="192"/>
      <c r="D28" s="204" t="s">
        <v>355</v>
      </c>
      <c r="E28" s="170"/>
      <c r="F28" s="173">
        <v>0.6</v>
      </c>
      <c r="G28" s="205">
        <v>0.15</v>
      </c>
      <c r="H28" s="205">
        <v>0.08</v>
      </c>
      <c r="I28" s="207"/>
      <c r="J28" s="205">
        <f t="shared" si="0"/>
        <v>0.01</v>
      </c>
      <c r="K28" s="181"/>
    </row>
    <row r="29" spans="1:11" x14ac:dyDescent="0.2">
      <c r="A29" s="191"/>
      <c r="B29" s="191"/>
      <c r="C29" s="192"/>
      <c r="D29" s="206"/>
      <c r="E29" s="170"/>
      <c r="F29" s="205"/>
      <c r="G29" s="205"/>
      <c r="H29" s="205"/>
      <c r="I29" s="203" t="str">
        <f>"Total item "&amp;A24</f>
        <v>Total item 2.1</v>
      </c>
      <c r="J29" s="202">
        <f>SUM(J26:J28)</f>
        <v>6.48</v>
      </c>
      <c r="K29" s="181"/>
    </row>
    <row r="30" spans="1:11" s="48" customFormat="1" x14ac:dyDescent="0.2">
      <c r="A30" s="191"/>
      <c r="B30" s="191"/>
      <c r="C30" s="192"/>
      <c r="D30" s="193"/>
      <c r="E30" s="191"/>
      <c r="F30" s="194"/>
      <c r="G30" s="194"/>
      <c r="H30" s="194"/>
      <c r="I30" s="195"/>
      <c r="J30" s="194"/>
      <c r="K30" s="186"/>
    </row>
    <row r="31" spans="1:11" s="49" customFormat="1" ht="22.2" customHeight="1" x14ac:dyDescent="0.2">
      <c r="A31" s="199" t="str">
        <f>'ORÇAMENTO SEM DESON'!A14</f>
        <v>2.2</v>
      </c>
      <c r="B31" s="199"/>
      <c r="C31" s="200"/>
      <c r="D31" s="201" t="str">
        <f>'ORÇAMENTO SEM DESON'!D14</f>
        <v>DEMOLIÇÃO DE PAVIMENTO INTERTRAVADO, DE FORMA MANUAL, SEM REAPROVEITAMENTO</v>
      </c>
      <c r="E31" s="199" t="str">
        <f>'ORÇAMENTO SEM DESON'!E14</f>
        <v>m²</v>
      </c>
      <c r="F31" s="202"/>
      <c r="G31" s="202"/>
      <c r="H31" s="202"/>
      <c r="I31" s="203"/>
      <c r="J31" s="202"/>
      <c r="K31" s="188"/>
    </row>
    <row r="32" spans="1:11" x14ac:dyDescent="0.2">
      <c r="A32" s="191"/>
      <c r="B32" s="191"/>
      <c r="C32" s="192"/>
      <c r="D32" s="204"/>
      <c r="E32" s="170"/>
      <c r="F32" s="173" t="s">
        <v>112</v>
      </c>
      <c r="G32" s="173" t="s">
        <v>121</v>
      </c>
      <c r="H32" s="173" t="s">
        <v>122</v>
      </c>
      <c r="I32" s="173" t="s">
        <v>106</v>
      </c>
      <c r="J32" s="205"/>
      <c r="K32" s="181"/>
    </row>
    <row r="33" spans="1:11" x14ac:dyDescent="0.2">
      <c r="A33" s="191"/>
      <c r="B33" s="191"/>
      <c r="C33" s="192"/>
      <c r="D33" s="204" t="s">
        <v>231</v>
      </c>
      <c r="E33" s="170"/>
      <c r="F33" s="173">
        <v>36.550000000000004</v>
      </c>
      <c r="G33" s="173">
        <v>1.6</v>
      </c>
      <c r="H33" s="205"/>
      <c r="I33" s="207"/>
      <c r="J33" s="205">
        <f t="shared" ref="J33:J34" si="1">ROUND(PRODUCT(F33:I33),2)</f>
        <v>58.48</v>
      </c>
    </row>
    <row r="34" spans="1:11" x14ac:dyDescent="0.2">
      <c r="A34" s="191"/>
      <c r="B34" s="191"/>
      <c r="C34" s="192"/>
      <c r="D34" s="204"/>
      <c r="E34" s="170"/>
      <c r="F34" s="173">
        <v>2.4</v>
      </c>
      <c r="G34" s="173">
        <v>4.5999999999999996</v>
      </c>
      <c r="H34" s="205"/>
      <c r="I34" s="207"/>
      <c r="J34" s="205">
        <f t="shared" si="1"/>
        <v>11.04</v>
      </c>
    </row>
    <row r="35" spans="1:11" x14ac:dyDescent="0.2">
      <c r="A35" s="191"/>
      <c r="B35" s="191"/>
      <c r="C35" s="192"/>
      <c r="D35" s="206"/>
      <c r="E35" s="170"/>
      <c r="F35" s="205"/>
      <c r="G35" s="205"/>
      <c r="H35" s="205"/>
      <c r="I35" s="203" t="str">
        <f>"Total item "&amp;A31</f>
        <v>Total item 2.2</v>
      </c>
      <c r="J35" s="202">
        <f>SUM(J33:J34)</f>
        <v>69.52</v>
      </c>
      <c r="K35" s="181"/>
    </row>
    <row r="36" spans="1:11" s="48" customFormat="1" x14ac:dyDescent="0.2">
      <c r="A36" s="191"/>
      <c r="B36" s="191"/>
      <c r="C36" s="192"/>
      <c r="D36" s="193"/>
      <c r="E36" s="191"/>
      <c r="F36" s="194"/>
      <c r="G36" s="194"/>
      <c r="H36" s="194"/>
      <c r="I36" s="195"/>
      <c r="J36" s="194"/>
      <c r="K36" s="186"/>
    </row>
    <row r="37" spans="1:11" s="49" customFormat="1" x14ac:dyDescent="0.2">
      <c r="A37" s="199" t="str">
        <f>'ORÇAMENTO SEM DESON'!A15</f>
        <v>2.3</v>
      </c>
      <c r="B37" s="199"/>
      <c r="C37" s="200"/>
      <c r="D37" s="201" t="str">
        <f>'ORÇAMENTO SEM DESON'!D15</f>
        <v>ESCAVAÇÃO MECÂNICA SOLO DE 2A.CAT. PROF. ATÉ 2.00m</v>
      </c>
      <c r="E37" s="199" t="str">
        <f>'ORÇAMENTO SEM DESON'!E15</f>
        <v>m³</v>
      </c>
      <c r="F37" s="202"/>
      <c r="G37" s="202"/>
      <c r="H37" s="202"/>
      <c r="I37" s="203"/>
      <c r="J37" s="202"/>
      <c r="K37" s="188"/>
    </row>
    <row r="38" spans="1:11" x14ac:dyDescent="0.2">
      <c r="A38" s="191"/>
      <c r="B38" s="191"/>
      <c r="C38" s="192"/>
      <c r="D38" s="204"/>
      <c r="E38" s="170"/>
      <c r="F38" s="173" t="s">
        <v>112</v>
      </c>
      <c r="G38" s="173" t="s">
        <v>121</v>
      </c>
      <c r="H38" s="173" t="s">
        <v>122</v>
      </c>
      <c r="I38" s="173" t="s">
        <v>106</v>
      </c>
      <c r="J38" s="205"/>
      <c r="K38" s="181"/>
    </row>
    <row r="39" spans="1:11" x14ac:dyDescent="0.2">
      <c r="A39" s="191"/>
      <c r="B39" s="191"/>
      <c r="C39" s="192"/>
      <c r="D39" s="218" t="s">
        <v>182</v>
      </c>
      <c r="E39" s="170"/>
      <c r="F39" s="173"/>
      <c r="G39" s="173"/>
      <c r="H39" s="173"/>
      <c r="I39" s="173"/>
      <c r="J39" s="205"/>
      <c r="K39" s="181"/>
    </row>
    <row r="40" spans="1:11" x14ac:dyDescent="0.2">
      <c r="A40" s="191"/>
      <c r="B40" s="191"/>
      <c r="C40" s="192"/>
      <c r="D40" s="204"/>
      <c r="E40" s="170"/>
      <c r="F40" s="173">
        <v>0.6</v>
      </c>
      <c r="G40" s="173">
        <v>0.8</v>
      </c>
      <c r="H40" s="173">
        <v>0.6</v>
      </c>
      <c r="I40" s="173">
        <f>ROUNDUP(42.25/3,0)</f>
        <v>15</v>
      </c>
      <c r="J40" s="205">
        <f t="shared" ref="J40:J47" si="2">ROUND(PRODUCT(F40:I40),2)</f>
        <v>4.32</v>
      </c>
      <c r="K40" s="181"/>
    </row>
    <row r="41" spans="1:11" x14ac:dyDescent="0.2">
      <c r="A41" s="191"/>
      <c r="B41" s="191"/>
      <c r="C41" s="192"/>
      <c r="D41" s="204"/>
      <c r="E41" s="170"/>
      <c r="F41" s="173">
        <v>0.6</v>
      </c>
      <c r="G41" s="173">
        <v>0.8</v>
      </c>
      <c r="H41" s="173">
        <v>0.6</v>
      </c>
      <c r="I41" s="173">
        <f>ROUNDUP(70.02/3,0)</f>
        <v>24</v>
      </c>
      <c r="J41" s="205">
        <f t="shared" si="2"/>
        <v>6.91</v>
      </c>
      <c r="K41" s="181"/>
    </row>
    <row r="42" spans="1:11" x14ac:dyDescent="0.2">
      <c r="A42" s="191"/>
      <c r="B42" s="191"/>
      <c r="C42" s="192"/>
      <c r="D42" s="204"/>
      <c r="E42" s="170"/>
      <c r="F42" s="173">
        <v>0.6</v>
      </c>
      <c r="G42" s="173">
        <v>0.8</v>
      </c>
      <c r="H42" s="173">
        <v>0.6</v>
      </c>
      <c r="I42" s="173">
        <f>ROUNDUP(43.68/3,0)</f>
        <v>15</v>
      </c>
      <c r="J42" s="205">
        <f t="shared" si="2"/>
        <v>4.32</v>
      </c>
      <c r="K42" s="181"/>
    </row>
    <row r="43" spans="1:11" x14ac:dyDescent="0.2">
      <c r="A43" s="191"/>
      <c r="B43" s="191"/>
      <c r="C43" s="192"/>
      <c r="D43" s="204"/>
      <c r="E43" s="170"/>
      <c r="F43" s="173">
        <v>0.6</v>
      </c>
      <c r="G43" s="173">
        <v>0.8</v>
      </c>
      <c r="H43" s="173">
        <v>0.6</v>
      </c>
      <c r="I43" s="173">
        <f>ROUNDUP(70.6/3,0)</f>
        <v>24</v>
      </c>
      <c r="J43" s="205">
        <f t="shared" si="2"/>
        <v>6.91</v>
      </c>
      <c r="K43" s="181"/>
    </row>
    <row r="44" spans="1:11" ht="20.399999999999999" x14ac:dyDescent="0.2">
      <c r="A44" s="191"/>
      <c r="B44" s="191"/>
      <c r="C44" s="192"/>
      <c r="D44" s="204" t="s">
        <v>356</v>
      </c>
      <c r="E44" s="170"/>
      <c r="F44" s="173">
        <v>0.6</v>
      </c>
      <c r="G44" s="205">
        <v>0.8</v>
      </c>
      <c r="H44" s="205">
        <v>0.6</v>
      </c>
      <c r="I44" s="207">
        <v>1</v>
      </c>
      <c r="J44" s="205">
        <f t="shared" si="2"/>
        <v>0.28999999999999998</v>
      </c>
      <c r="K44" s="181"/>
    </row>
    <row r="45" spans="1:11" x14ac:dyDescent="0.2">
      <c r="A45" s="191"/>
      <c r="B45" s="191"/>
      <c r="C45" s="192"/>
      <c r="D45" s="218" t="s">
        <v>183</v>
      </c>
      <c r="E45" s="170"/>
      <c r="F45" s="173"/>
      <c r="G45" s="173"/>
      <c r="H45" s="173"/>
      <c r="I45" s="173"/>
      <c r="J45" s="205"/>
      <c r="K45" s="181"/>
    </row>
    <row r="46" spans="1:11" x14ac:dyDescent="0.2">
      <c r="A46" s="191"/>
      <c r="B46" s="191"/>
      <c r="C46" s="192"/>
      <c r="D46" s="204"/>
      <c r="E46" s="170"/>
      <c r="F46" s="173">
        <f>42.25+70.02+70.6</f>
        <v>182.87</v>
      </c>
      <c r="G46" s="208">
        <v>0.5</v>
      </c>
      <c r="H46" s="173">
        <v>0.3</v>
      </c>
      <c r="I46" s="173"/>
      <c r="J46" s="205">
        <f t="shared" si="2"/>
        <v>27.43</v>
      </c>
      <c r="K46" s="181"/>
    </row>
    <row r="47" spans="1:11" x14ac:dyDescent="0.2">
      <c r="A47" s="191"/>
      <c r="B47" s="191"/>
      <c r="C47" s="192"/>
      <c r="D47" s="204" t="s">
        <v>258</v>
      </c>
      <c r="E47" s="170"/>
      <c r="F47" s="173">
        <v>43.68</v>
      </c>
      <c r="G47" s="208">
        <v>1.2</v>
      </c>
      <c r="H47" s="173">
        <v>0.3</v>
      </c>
      <c r="I47" s="173"/>
      <c r="J47" s="205">
        <f>ROUND(PRODUCT(F47:I47),2)</f>
        <v>15.72</v>
      </c>
      <c r="K47" s="181"/>
    </row>
    <row r="48" spans="1:11" x14ac:dyDescent="0.2">
      <c r="A48" s="191"/>
      <c r="B48" s="191"/>
      <c r="C48" s="192"/>
      <c r="D48" s="206"/>
      <c r="E48" s="170"/>
      <c r="F48" s="205"/>
      <c r="G48" s="205"/>
      <c r="H48" s="205"/>
      <c r="I48" s="203" t="str">
        <f>"Total item "&amp;A37</f>
        <v>Total item 2.3</v>
      </c>
      <c r="J48" s="202">
        <f>SUM(J39:J47)</f>
        <v>65.900000000000006</v>
      </c>
      <c r="K48" s="181"/>
    </row>
    <row r="49" spans="1:11" s="48" customFormat="1" x14ac:dyDescent="0.2">
      <c r="A49" s="191"/>
      <c r="B49" s="191"/>
      <c r="C49" s="192"/>
      <c r="D49" s="193"/>
      <c r="E49" s="191"/>
      <c r="F49" s="194"/>
      <c r="G49" s="194"/>
      <c r="H49" s="194"/>
      <c r="I49" s="195"/>
      <c r="J49" s="194"/>
      <c r="K49" s="186"/>
    </row>
    <row r="50" spans="1:11" s="49" customFormat="1" x14ac:dyDescent="0.2">
      <c r="A50" s="199" t="str">
        <f>'ORÇAMENTO SEM DESON'!A16</f>
        <v>2.4</v>
      </c>
      <c r="B50" s="199"/>
      <c r="C50" s="200"/>
      <c r="D50" s="201" t="str">
        <f>'ORÇAMENTO SEM DESON'!D16</f>
        <v>REATERRO MANUAL APILOADO COM SOQUETE. AF_10/2017</v>
      </c>
      <c r="E50" s="199" t="str">
        <f>'ORÇAMENTO SEM DESON'!E16</f>
        <v>m³</v>
      </c>
      <c r="F50" s="202"/>
      <c r="G50" s="202"/>
      <c r="H50" s="202"/>
      <c r="I50" s="203"/>
      <c r="J50" s="202"/>
      <c r="K50" s="188"/>
    </row>
    <row r="51" spans="1:11" x14ac:dyDescent="0.2">
      <c r="A51" s="191"/>
      <c r="B51" s="191"/>
      <c r="C51" s="192"/>
      <c r="D51" s="204"/>
      <c r="E51" s="170"/>
      <c r="F51" s="173" t="s">
        <v>112</v>
      </c>
      <c r="G51" s="173" t="s">
        <v>121</v>
      </c>
      <c r="H51" s="173" t="s">
        <v>122</v>
      </c>
      <c r="I51" s="173" t="s">
        <v>106</v>
      </c>
      <c r="J51" s="205"/>
      <c r="K51" s="181"/>
    </row>
    <row r="52" spans="1:11" x14ac:dyDescent="0.2">
      <c r="A52" s="191"/>
      <c r="B52" s="191"/>
      <c r="C52" s="192"/>
      <c r="D52" s="218" t="s">
        <v>182</v>
      </c>
      <c r="E52" s="170" t="s">
        <v>18</v>
      </c>
      <c r="F52" s="173"/>
      <c r="G52" s="173"/>
      <c r="H52" s="173"/>
      <c r="I52" s="173"/>
      <c r="J52" s="205"/>
      <c r="K52" s="181"/>
    </row>
    <row r="53" spans="1:11" x14ac:dyDescent="0.2">
      <c r="A53" s="191"/>
      <c r="B53" s="191"/>
      <c r="C53" s="192"/>
      <c r="D53" s="204"/>
      <c r="E53" s="170"/>
      <c r="F53" s="173">
        <f>F40</f>
        <v>0.6</v>
      </c>
      <c r="G53" s="173">
        <f>G40-G74</f>
        <v>0.5</v>
      </c>
      <c r="H53" s="173">
        <f t="shared" ref="H53:I57" si="3">H40</f>
        <v>0.6</v>
      </c>
      <c r="I53" s="173">
        <f t="shared" si="3"/>
        <v>15</v>
      </c>
      <c r="J53" s="205">
        <f>ROUND(PRODUCT(F53:I53),2)</f>
        <v>2.7</v>
      </c>
      <c r="K53" s="181"/>
    </row>
    <row r="54" spans="1:11" x14ac:dyDescent="0.2">
      <c r="A54" s="191"/>
      <c r="B54" s="191"/>
      <c r="C54" s="192"/>
      <c r="D54" s="204"/>
      <c r="E54" s="170"/>
      <c r="F54" s="173">
        <f>F41</f>
        <v>0.6</v>
      </c>
      <c r="G54" s="173">
        <f>G41-G75</f>
        <v>0.5</v>
      </c>
      <c r="H54" s="173">
        <f t="shared" si="3"/>
        <v>0.6</v>
      </c>
      <c r="I54" s="173">
        <f t="shared" si="3"/>
        <v>24</v>
      </c>
      <c r="J54" s="205">
        <f t="shared" ref="J53:J57" si="4">ROUND(PRODUCT(F54:I54),2)</f>
        <v>4.32</v>
      </c>
      <c r="K54" s="181"/>
    </row>
    <row r="55" spans="1:11" x14ac:dyDescent="0.2">
      <c r="A55" s="191"/>
      <c r="B55" s="191"/>
      <c r="C55" s="192"/>
      <c r="D55" s="204"/>
      <c r="E55" s="170"/>
      <c r="F55" s="173">
        <f>F42</f>
        <v>0.6</v>
      </c>
      <c r="G55" s="173">
        <f>G42-G76</f>
        <v>0.5</v>
      </c>
      <c r="H55" s="173">
        <f t="shared" si="3"/>
        <v>0.6</v>
      </c>
      <c r="I55" s="173">
        <f t="shared" si="3"/>
        <v>15</v>
      </c>
      <c r="J55" s="205">
        <f t="shared" si="4"/>
        <v>2.7</v>
      </c>
      <c r="K55" s="181"/>
    </row>
    <row r="56" spans="1:11" x14ac:dyDescent="0.2">
      <c r="A56" s="191"/>
      <c r="B56" s="191"/>
      <c r="C56" s="192"/>
      <c r="D56" s="204"/>
      <c r="E56" s="170"/>
      <c r="F56" s="173">
        <f>F43</f>
        <v>0.6</v>
      </c>
      <c r="G56" s="173">
        <f>G43-G77</f>
        <v>0.5</v>
      </c>
      <c r="H56" s="173">
        <f t="shared" si="3"/>
        <v>0.6</v>
      </c>
      <c r="I56" s="173">
        <f t="shared" si="3"/>
        <v>24</v>
      </c>
      <c r="J56" s="205">
        <f t="shared" si="4"/>
        <v>4.32</v>
      </c>
      <c r="K56" s="181"/>
    </row>
    <row r="57" spans="1:11" ht="20.399999999999999" x14ac:dyDescent="0.2">
      <c r="A57" s="191"/>
      <c r="B57" s="191"/>
      <c r="C57" s="192"/>
      <c r="D57" s="204" t="s">
        <v>356</v>
      </c>
      <c r="E57" s="170"/>
      <c r="F57" s="173">
        <f>F44</f>
        <v>0.6</v>
      </c>
      <c r="G57" s="173">
        <f>G44-G79</f>
        <v>0.8</v>
      </c>
      <c r="H57" s="173">
        <f t="shared" si="3"/>
        <v>0.6</v>
      </c>
      <c r="I57" s="173">
        <f t="shared" si="3"/>
        <v>1</v>
      </c>
      <c r="J57" s="205">
        <f>ROUND(PRODUCT(F57:I57),2)</f>
        <v>0.28999999999999998</v>
      </c>
      <c r="K57" s="181"/>
    </row>
    <row r="58" spans="1:11" x14ac:dyDescent="0.2">
      <c r="A58" s="191"/>
      <c r="B58" s="191"/>
      <c r="C58" s="192"/>
      <c r="D58" s="218" t="s">
        <v>183</v>
      </c>
      <c r="E58" s="170" t="s">
        <v>18</v>
      </c>
      <c r="F58" s="173"/>
      <c r="G58" s="173"/>
      <c r="H58" s="173"/>
      <c r="I58" s="173"/>
      <c r="J58" s="205"/>
      <c r="K58" s="181"/>
    </row>
    <row r="59" spans="1:11" x14ac:dyDescent="0.2">
      <c r="A59" s="191"/>
      <c r="B59" s="191"/>
      <c r="C59" s="192"/>
      <c r="D59" s="204"/>
      <c r="E59" s="170" t="s">
        <v>18</v>
      </c>
      <c r="F59" s="173">
        <f>F46</f>
        <v>182.87</v>
      </c>
      <c r="G59" s="173">
        <f>G46</f>
        <v>0.5</v>
      </c>
      <c r="H59" s="173">
        <f>H46-H67</f>
        <v>9.9999999999999978E-2</v>
      </c>
      <c r="I59" s="173"/>
      <c r="J59" s="205">
        <f>ROUND(PRODUCT(F59:I59),2)</f>
        <v>9.14</v>
      </c>
      <c r="K59" s="181"/>
    </row>
    <row r="60" spans="1:11" x14ac:dyDescent="0.2">
      <c r="A60" s="191"/>
      <c r="B60" s="191"/>
      <c r="C60" s="192"/>
      <c r="D60" s="204" t="s">
        <v>258</v>
      </c>
      <c r="E60" s="170"/>
      <c r="F60" s="173">
        <f>F47</f>
        <v>43.68</v>
      </c>
      <c r="G60" s="173">
        <f>G47</f>
        <v>1.2</v>
      </c>
      <c r="H60" s="173">
        <f>H47-H68</f>
        <v>9.9999999999999978E-2</v>
      </c>
      <c r="I60" s="173"/>
      <c r="J60" s="205">
        <f>ROUND(PRODUCT(F60:I60),2)</f>
        <v>5.24</v>
      </c>
      <c r="K60" s="181"/>
    </row>
    <row r="61" spans="1:11" x14ac:dyDescent="0.2">
      <c r="A61" s="191"/>
      <c r="B61" s="191"/>
      <c r="C61" s="192"/>
      <c r="D61" s="206"/>
      <c r="E61" s="170"/>
      <c r="F61" s="205"/>
      <c r="G61" s="205"/>
      <c r="H61" s="205"/>
      <c r="I61" s="203" t="str">
        <f>"Total item "&amp;A50</f>
        <v>Total item 2.4</v>
      </c>
      <c r="J61" s="202">
        <f>SUM(J53:J60)</f>
        <v>28.71</v>
      </c>
      <c r="K61" s="181"/>
    </row>
    <row r="62" spans="1:11" s="48" customFormat="1" x14ac:dyDescent="0.2">
      <c r="A62" s="191"/>
      <c r="B62" s="191"/>
      <c r="C62" s="192"/>
      <c r="D62" s="193"/>
      <c r="E62" s="191"/>
      <c r="F62" s="194"/>
      <c r="G62" s="194"/>
      <c r="H62" s="194"/>
      <c r="I62" s="195"/>
      <c r="J62" s="194"/>
      <c r="K62" s="186"/>
    </row>
    <row r="63" spans="1:11" s="69" customFormat="1" x14ac:dyDescent="0.2">
      <c r="A63" s="163" t="str">
        <f>'ORÇAMENTO SEM DESON'!A17</f>
        <v>3.0</v>
      </c>
      <c r="B63" s="164"/>
      <c r="C63" s="165"/>
      <c r="D63" s="196" t="str">
        <f>'ORÇAMENTO SEM DESON'!D17</f>
        <v>INFRAESTRUTURA</v>
      </c>
      <c r="E63" s="164"/>
      <c r="F63" s="197"/>
      <c r="G63" s="197"/>
      <c r="H63" s="197"/>
      <c r="I63" s="198"/>
      <c r="J63" s="197"/>
      <c r="K63" s="187"/>
    </row>
    <row r="64" spans="1:11" s="48" customFormat="1" x14ac:dyDescent="0.2">
      <c r="A64" s="191"/>
      <c r="B64" s="191"/>
      <c r="C64" s="192"/>
      <c r="D64" s="193"/>
      <c r="E64" s="191"/>
      <c r="F64" s="194"/>
      <c r="G64" s="194"/>
      <c r="H64" s="194"/>
      <c r="I64" s="195"/>
      <c r="J64" s="194"/>
      <c r="K64" s="186"/>
    </row>
    <row r="65" spans="1:11" s="49" customFormat="1" ht="30.6" x14ac:dyDescent="0.2">
      <c r="A65" s="199" t="str">
        <f>'ORÇAMENTO SEM DESON'!A18</f>
        <v>3.1</v>
      </c>
      <c r="B65" s="199"/>
      <c r="C65" s="200"/>
      <c r="D65" s="201" t="str">
        <f>'ORÇAMENTO SEM DESON'!D18</f>
        <v>ALVENARIA DE EMBASAMENTO COM BLOCO ESTRUTURAL DE CERÂMICA, DE 14X19X29 CM E ARGAMASSA DE ASSENTAMENTO COM PREPARO EM BETONEIRA. AF_05/2020</v>
      </c>
      <c r="E65" s="199" t="str">
        <f>'ORÇAMENTO SEM DESON'!E18</f>
        <v>m³</v>
      </c>
      <c r="F65" s="202"/>
      <c r="G65" s="202"/>
      <c r="H65" s="202"/>
      <c r="I65" s="203"/>
      <c r="J65" s="202"/>
      <c r="K65" s="188"/>
    </row>
    <row r="66" spans="1:11" x14ac:dyDescent="0.2">
      <c r="A66" s="191"/>
      <c r="B66" s="191"/>
      <c r="C66" s="192"/>
      <c r="D66" s="204"/>
      <c r="E66" s="170"/>
      <c r="F66" s="173" t="s">
        <v>112</v>
      </c>
      <c r="G66" s="173" t="s">
        <v>121</v>
      </c>
      <c r="H66" s="173" t="s">
        <v>122</v>
      </c>
      <c r="I66" s="173"/>
      <c r="J66" s="205"/>
      <c r="K66" s="181"/>
    </row>
    <row r="67" spans="1:11" x14ac:dyDescent="0.2">
      <c r="A67" s="191"/>
      <c r="B67" s="191"/>
      <c r="C67" s="192"/>
      <c r="D67" s="204" t="s">
        <v>181</v>
      </c>
      <c r="E67" s="170" t="s">
        <v>18</v>
      </c>
      <c r="F67" s="173">
        <f>F59</f>
        <v>182.87</v>
      </c>
      <c r="G67" s="173">
        <v>0.5</v>
      </c>
      <c r="H67" s="173">
        <v>0.2</v>
      </c>
      <c r="I67" s="173"/>
      <c r="J67" s="205">
        <f t="shared" ref="J67:J68" si="5">ROUND(PRODUCT(F67:I67),2)</f>
        <v>18.29</v>
      </c>
      <c r="K67" s="181"/>
    </row>
    <row r="68" spans="1:11" x14ac:dyDescent="0.2">
      <c r="A68" s="191"/>
      <c r="B68" s="191"/>
      <c r="C68" s="192"/>
      <c r="D68" s="204" t="s">
        <v>258</v>
      </c>
      <c r="E68" s="170"/>
      <c r="F68" s="173">
        <f>F60</f>
        <v>43.68</v>
      </c>
      <c r="G68" s="173">
        <f>G60</f>
        <v>1.2</v>
      </c>
      <c r="H68" s="173">
        <v>0.2</v>
      </c>
      <c r="I68" s="173"/>
      <c r="J68" s="205">
        <f t="shared" si="5"/>
        <v>10.48</v>
      </c>
      <c r="K68" s="181"/>
    </row>
    <row r="69" spans="1:11" x14ac:dyDescent="0.2">
      <c r="A69" s="191"/>
      <c r="B69" s="191"/>
      <c r="C69" s="192"/>
      <c r="D69" s="206"/>
      <c r="E69" s="170"/>
      <c r="F69" s="205"/>
      <c r="G69" s="205"/>
      <c r="H69" s="205"/>
      <c r="I69" s="203" t="str">
        <f>"Total item "&amp;A65</f>
        <v>Total item 3.1</v>
      </c>
      <c r="J69" s="202">
        <f>SUM(J67:J68)</f>
        <v>28.77</v>
      </c>
      <c r="K69" s="181"/>
    </row>
    <row r="70" spans="1:11" s="48" customFormat="1" x14ac:dyDescent="0.2">
      <c r="A70" s="191"/>
      <c r="B70" s="191"/>
      <c r="C70" s="192"/>
      <c r="D70" s="193"/>
      <c r="E70" s="191"/>
      <c r="F70" s="194"/>
      <c r="G70" s="194"/>
      <c r="H70" s="194"/>
      <c r="I70" s="195"/>
      <c r="J70" s="194"/>
      <c r="K70" s="186"/>
    </row>
    <row r="71" spans="1:11" s="49" customFormat="1" ht="30.6" x14ac:dyDescent="0.2">
      <c r="A71" s="199" t="str">
        <f>'ORÇAMENTO SEM DESON'!A19</f>
        <v>3.2</v>
      </c>
      <c r="B71" s="199"/>
      <c r="C71" s="200"/>
      <c r="D71" s="201" t="str">
        <f>'ORÇAMENTO SEM DESON'!D19</f>
        <v>CONCRETO FCK = 25MPA, TRAÇO 1:2,3:2,7 (EM MASSA SECA DE CIMENTO/ AREIA MÉDIA/ BRITA 1) - PREPARO MECÂNICO COM BETONEIRA 400 L. AF_05/2021</v>
      </c>
      <c r="E71" s="199" t="str">
        <f>'ORÇAMENTO SEM DESON'!E19</f>
        <v>m³</v>
      </c>
      <c r="F71" s="202"/>
      <c r="G71" s="202"/>
      <c r="H71" s="202"/>
      <c r="I71" s="203"/>
      <c r="J71" s="202"/>
      <c r="K71" s="188"/>
    </row>
    <row r="72" spans="1:11" x14ac:dyDescent="0.2">
      <c r="A72" s="191"/>
      <c r="B72" s="191"/>
      <c r="C72" s="192"/>
      <c r="D72" s="204"/>
      <c r="E72" s="170"/>
      <c r="F72" s="173" t="s">
        <v>112</v>
      </c>
      <c r="G72" s="173" t="s">
        <v>121</v>
      </c>
      <c r="H72" s="173" t="s">
        <v>122</v>
      </c>
      <c r="I72" s="173" t="s">
        <v>106</v>
      </c>
      <c r="J72" s="205"/>
      <c r="K72" s="181"/>
    </row>
    <row r="73" spans="1:11" x14ac:dyDescent="0.2">
      <c r="A73" s="191"/>
      <c r="B73" s="191"/>
      <c r="C73" s="192"/>
      <c r="D73" s="218" t="s">
        <v>182</v>
      </c>
      <c r="E73" s="170" t="s">
        <v>18</v>
      </c>
      <c r="F73" s="173"/>
      <c r="G73" s="173"/>
      <c r="H73" s="173"/>
      <c r="I73" s="173"/>
      <c r="J73" s="205"/>
      <c r="K73" s="181"/>
    </row>
    <row r="74" spans="1:11" x14ac:dyDescent="0.2">
      <c r="A74" s="191"/>
      <c r="B74" s="191"/>
      <c r="C74" s="192"/>
      <c r="D74" s="204"/>
      <c r="E74" s="170"/>
      <c r="F74" s="173">
        <v>0.6</v>
      </c>
      <c r="G74" s="173">
        <v>0.3</v>
      </c>
      <c r="H74" s="173">
        <v>0.6</v>
      </c>
      <c r="I74" s="173">
        <f>I53</f>
        <v>15</v>
      </c>
      <c r="J74" s="205">
        <f t="shared" ref="J74:J78" si="6">ROUND(PRODUCT(F74:I74),2)</f>
        <v>1.62</v>
      </c>
      <c r="K74" s="181"/>
    </row>
    <row r="75" spans="1:11" x14ac:dyDescent="0.2">
      <c r="A75" s="191"/>
      <c r="B75" s="191"/>
      <c r="C75" s="192"/>
      <c r="D75" s="204"/>
      <c r="E75" s="170"/>
      <c r="F75" s="173">
        <v>0.6</v>
      </c>
      <c r="G75" s="173">
        <v>0.3</v>
      </c>
      <c r="H75" s="173">
        <v>0.6</v>
      </c>
      <c r="I75" s="173">
        <f>I54</f>
        <v>24</v>
      </c>
      <c r="J75" s="205">
        <f t="shared" si="6"/>
        <v>2.59</v>
      </c>
      <c r="K75" s="181"/>
    </row>
    <row r="76" spans="1:11" x14ac:dyDescent="0.2">
      <c r="A76" s="191"/>
      <c r="B76" s="191"/>
      <c r="C76" s="192"/>
      <c r="D76" s="204"/>
      <c r="E76" s="170"/>
      <c r="F76" s="173">
        <v>0.6</v>
      </c>
      <c r="G76" s="173">
        <v>0.3</v>
      </c>
      <c r="H76" s="173">
        <v>0.6</v>
      </c>
      <c r="I76" s="173">
        <f>I55</f>
        <v>15</v>
      </c>
      <c r="J76" s="205">
        <f t="shared" si="6"/>
        <v>1.62</v>
      </c>
      <c r="K76" s="181"/>
    </row>
    <row r="77" spans="1:11" x14ac:dyDescent="0.2">
      <c r="A77" s="191"/>
      <c r="B77" s="191"/>
      <c r="C77" s="192"/>
      <c r="D77" s="204"/>
      <c r="E77" s="170"/>
      <c r="F77" s="173">
        <v>0.6</v>
      </c>
      <c r="G77" s="173">
        <v>0.3</v>
      </c>
      <c r="H77" s="173">
        <v>0.6</v>
      </c>
      <c r="I77" s="173">
        <f>I56</f>
        <v>24</v>
      </c>
      <c r="J77" s="205">
        <f t="shared" si="6"/>
        <v>2.59</v>
      </c>
      <c r="K77" s="181"/>
    </row>
    <row r="78" spans="1:11" ht="20.399999999999999" x14ac:dyDescent="0.2">
      <c r="A78" s="191"/>
      <c r="B78" s="191"/>
      <c r="C78" s="192"/>
      <c r="D78" s="204" t="s">
        <v>356</v>
      </c>
      <c r="E78" s="170"/>
      <c r="F78" s="173">
        <v>0.6</v>
      </c>
      <c r="G78" s="173">
        <v>0.2</v>
      </c>
      <c r="H78" s="173">
        <v>0.6</v>
      </c>
      <c r="I78" s="173">
        <f>I57</f>
        <v>1</v>
      </c>
      <c r="J78" s="205">
        <f t="shared" si="6"/>
        <v>7.0000000000000007E-2</v>
      </c>
      <c r="K78" s="181"/>
    </row>
    <row r="79" spans="1:11" x14ac:dyDescent="0.2">
      <c r="A79" s="191"/>
      <c r="B79" s="191"/>
      <c r="C79" s="192"/>
      <c r="D79" s="218" t="s">
        <v>184</v>
      </c>
      <c r="E79" s="170" t="s">
        <v>18</v>
      </c>
      <c r="F79" s="173"/>
      <c r="G79" s="173"/>
      <c r="H79" s="173"/>
      <c r="I79" s="207"/>
      <c r="J79" s="205"/>
      <c r="K79" s="181"/>
    </row>
    <row r="80" spans="1:11" x14ac:dyDescent="0.2">
      <c r="A80" s="191"/>
      <c r="B80" s="191"/>
      <c r="C80" s="192"/>
      <c r="D80" s="204"/>
      <c r="E80" s="170"/>
      <c r="F80" s="173">
        <f>F67+F68</f>
        <v>226.55</v>
      </c>
      <c r="G80" s="173">
        <v>0.3</v>
      </c>
      <c r="H80" s="173">
        <v>0.2</v>
      </c>
      <c r="I80" s="207"/>
      <c r="J80" s="205">
        <f>ROUND(PRODUCT(F80:I80),2)</f>
        <v>13.59</v>
      </c>
      <c r="K80" s="181"/>
    </row>
    <row r="81" spans="1:11" x14ac:dyDescent="0.2">
      <c r="A81" s="191"/>
      <c r="B81" s="191"/>
      <c r="C81" s="192"/>
      <c r="D81" s="218" t="s">
        <v>185</v>
      </c>
      <c r="E81" s="170" t="s">
        <v>18</v>
      </c>
      <c r="F81" s="173"/>
      <c r="G81" s="173"/>
      <c r="H81" s="173"/>
      <c r="I81" s="173"/>
      <c r="J81" s="205"/>
      <c r="K81" s="181"/>
    </row>
    <row r="82" spans="1:11" x14ac:dyDescent="0.2">
      <c r="A82" s="191"/>
      <c r="B82" s="191"/>
      <c r="C82" s="192"/>
      <c r="D82" s="204"/>
      <c r="E82" s="170"/>
      <c r="F82" s="173">
        <v>0.25</v>
      </c>
      <c r="G82" s="173">
        <f>G67</f>
        <v>0.5</v>
      </c>
      <c r="H82" s="173">
        <v>0.12</v>
      </c>
      <c r="I82" s="173">
        <f>I74+2</f>
        <v>17</v>
      </c>
      <c r="J82" s="205">
        <f t="shared" ref="J82:J86" si="7">ROUND(PRODUCT(F82:I82),2)</f>
        <v>0.26</v>
      </c>
      <c r="K82" s="181"/>
    </row>
    <row r="83" spans="1:11" x14ac:dyDescent="0.2">
      <c r="A83" s="191"/>
      <c r="B83" s="191"/>
      <c r="C83" s="192"/>
      <c r="D83" s="204"/>
      <c r="E83" s="170"/>
      <c r="F83" s="173">
        <v>0.25</v>
      </c>
      <c r="G83" s="173">
        <f>G67</f>
        <v>0.5</v>
      </c>
      <c r="H83" s="173">
        <v>0.12</v>
      </c>
      <c r="I83" s="173">
        <f>I75+3</f>
        <v>27</v>
      </c>
      <c r="J83" s="205">
        <f t="shared" si="7"/>
        <v>0.41</v>
      </c>
      <c r="K83" s="181"/>
    </row>
    <row r="84" spans="1:11" x14ac:dyDescent="0.2">
      <c r="A84" s="191"/>
      <c r="B84" s="191"/>
      <c r="C84" s="192"/>
      <c r="D84" s="204"/>
      <c r="E84" s="170"/>
      <c r="F84" s="173">
        <v>0.25</v>
      </c>
      <c r="G84" s="173">
        <f>G67</f>
        <v>0.5</v>
      </c>
      <c r="H84" s="173">
        <v>0.12</v>
      </c>
      <c r="I84" s="173">
        <f>I76+2</f>
        <v>17</v>
      </c>
      <c r="J84" s="205">
        <f t="shared" si="7"/>
        <v>0.26</v>
      </c>
      <c r="K84" s="181"/>
    </row>
    <row r="85" spans="1:11" x14ac:dyDescent="0.2">
      <c r="A85" s="191"/>
      <c r="B85" s="191"/>
      <c r="C85" s="192"/>
      <c r="D85" s="204"/>
      <c r="E85" s="170"/>
      <c r="F85" s="173">
        <v>0.25</v>
      </c>
      <c r="G85" s="173">
        <f>G67</f>
        <v>0.5</v>
      </c>
      <c r="H85" s="173">
        <v>0.12</v>
      </c>
      <c r="I85" s="173">
        <f>I77+3</f>
        <v>27</v>
      </c>
      <c r="J85" s="205">
        <f t="shared" si="7"/>
        <v>0.41</v>
      </c>
      <c r="K85" s="181"/>
    </row>
    <row r="86" spans="1:11" ht="20.399999999999999" x14ac:dyDescent="0.2">
      <c r="A86" s="191"/>
      <c r="B86" s="191"/>
      <c r="C86" s="192"/>
      <c r="D86" s="204" t="s">
        <v>356</v>
      </c>
      <c r="E86" s="170"/>
      <c r="F86" s="173">
        <v>0.15</v>
      </c>
      <c r="G86" s="173">
        <v>0.6</v>
      </c>
      <c r="H86" s="173">
        <v>0.15</v>
      </c>
      <c r="I86" s="173">
        <v>1</v>
      </c>
      <c r="J86" s="205">
        <f t="shared" si="7"/>
        <v>0.01</v>
      </c>
      <c r="K86" s="181"/>
    </row>
    <row r="87" spans="1:11" x14ac:dyDescent="0.2">
      <c r="A87" s="191"/>
      <c r="B87" s="191"/>
      <c r="C87" s="192"/>
      <c r="D87" s="206"/>
      <c r="E87" s="170"/>
      <c r="F87" s="205"/>
      <c r="G87" s="205"/>
      <c r="H87" s="205"/>
      <c r="I87" s="203" t="str">
        <f>"Total item "&amp;A71</f>
        <v>Total item 3.2</v>
      </c>
      <c r="J87" s="202">
        <f>SUM(J73:J86)</f>
        <v>23.430000000000003</v>
      </c>
      <c r="K87" s="181"/>
    </row>
    <row r="88" spans="1:11" s="48" customFormat="1" x14ac:dyDescent="0.2">
      <c r="A88" s="191"/>
      <c r="B88" s="191"/>
      <c r="C88" s="192"/>
      <c r="D88" s="193"/>
      <c r="E88" s="191"/>
      <c r="F88" s="194"/>
      <c r="G88" s="194"/>
      <c r="H88" s="194"/>
      <c r="I88" s="195"/>
      <c r="J88" s="194"/>
      <c r="K88" s="186"/>
    </row>
    <row r="89" spans="1:11" s="49" customFormat="1" ht="20.399999999999999" x14ac:dyDescent="0.2">
      <c r="A89" s="199" t="str">
        <f>'ORÇAMENTO SEM DESON'!A20</f>
        <v>3.3</v>
      </c>
      <c r="B89" s="199"/>
      <c r="C89" s="200"/>
      <c r="D89" s="201" t="str">
        <f>'ORÇAMENTO SEM DESON'!D20</f>
        <v>ARMAÇÃO DE BLOCO, VIGA BALDRAME OU SAPATA UTILIZANDO AÇO CA-50 DE 10 MM - MONTAGEM. AF_06/2017</v>
      </c>
      <c r="E89" s="199" t="str">
        <f>'ORÇAMENTO SEM DESON'!E20</f>
        <v>kg</v>
      </c>
      <c r="F89" s="202"/>
      <c r="G89" s="202"/>
      <c r="H89" s="202"/>
      <c r="I89" s="203"/>
      <c r="J89" s="202"/>
      <c r="K89" s="188"/>
    </row>
    <row r="90" spans="1:11" ht="20.399999999999999" x14ac:dyDescent="0.2">
      <c r="A90" s="191"/>
      <c r="B90" s="191"/>
      <c r="C90" s="192"/>
      <c r="D90" s="218" t="s">
        <v>186</v>
      </c>
      <c r="E90" s="170"/>
      <c r="F90" s="209" t="s">
        <v>159</v>
      </c>
      <c r="G90" s="173" t="s">
        <v>158</v>
      </c>
      <c r="H90" s="173" t="s">
        <v>106</v>
      </c>
      <c r="I90" s="173"/>
      <c r="J90" s="205"/>
      <c r="K90" s="181"/>
    </row>
    <row r="91" spans="1:11" x14ac:dyDescent="0.2">
      <c r="A91" s="191"/>
      <c r="B91" s="191"/>
      <c r="C91" s="192"/>
      <c r="D91" s="204" t="s">
        <v>255</v>
      </c>
      <c r="E91" s="170" t="s">
        <v>135</v>
      </c>
      <c r="F91" s="173">
        <f>(0.6-0.07+0.1+0.1)*6</f>
        <v>4.38</v>
      </c>
      <c r="G91" s="210">
        <v>0.61699999999999999</v>
      </c>
      <c r="H91" s="173">
        <f>I74</f>
        <v>15</v>
      </c>
      <c r="I91" s="173"/>
      <c r="J91" s="205">
        <f t="shared" ref="J91:J95" si="8">ROUND(PRODUCT(F91:I91),2)</f>
        <v>40.54</v>
      </c>
      <c r="K91" s="181"/>
    </row>
    <row r="92" spans="1:11" x14ac:dyDescent="0.2">
      <c r="A92" s="191"/>
      <c r="B92" s="191"/>
      <c r="C92" s="192"/>
      <c r="D92" s="204" t="s">
        <v>232</v>
      </c>
      <c r="E92" s="170"/>
      <c r="F92" s="173">
        <f t="shared" ref="F92:F94" si="9">(0.6-0.07+0.1+0.1)*6</f>
        <v>4.38</v>
      </c>
      <c r="G92" s="210">
        <v>0.61699999999999999</v>
      </c>
      <c r="H92" s="173">
        <f>I75</f>
        <v>24</v>
      </c>
      <c r="I92" s="173"/>
      <c r="J92" s="205">
        <f t="shared" si="8"/>
        <v>64.86</v>
      </c>
      <c r="K92" s="181"/>
    </row>
    <row r="93" spans="1:11" x14ac:dyDescent="0.2">
      <c r="A93" s="191"/>
      <c r="B93" s="191"/>
      <c r="C93" s="192"/>
      <c r="D93" s="204" t="s">
        <v>254</v>
      </c>
      <c r="E93" s="170"/>
      <c r="F93" s="173">
        <f t="shared" si="9"/>
        <v>4.38</v>
      </c>
      <c r="G93" s="210">
        <v>0.61699999999999999</v>
      </c>
      <c r="H93" s="173">
        <f>I76</f>
        <v>15</v>
      </c>
      <c r="I93" s="173"/>
      <c r="J93" s="205">
        <f t="shared" si="8"/>
        <v>40.54</v>
      </c>
      <c r="K93" s="181"/>
    </row>
    <row r="94" spans="1:11" x14ac:dyDescent="0.2">
      <c r="A94" s="191"/>
      <c r="B94" s="191"/>
      <c r="C94" s="192"/>
      <c r="D94" s="204" t="s">
        <v>233</v>
      </c>
      <c r="E94" s="170"/>
      <c r="F94" s="173">
        <f t="shared" si="9"/>
        <v>4.38</v>
      </c>
      <c r="G94" s="210">
        <v>0.61699999999999999</v>
      </c>
      <c r="H94" s="173">
        <f>I77</f>
        <v>24</v>
      </c>
      <c r="I94" s="173"/>
      <c r="J94" s="205">
        <f t="shared" si="8"/>
        <v>64.86</v>
      </c>
      <c r="K94" s="181"/>
    </row>
    <row r="95" spans="1:11" ht="20.399999999999999" x14ac:dyDescent="0.2">
      <c r="A95" s="191"/>
      <c r="B95" s="191"/>
      <c r="C95" s="192"/>
      <c r="D95" s="218" t="s">
        <v>276</v>
      </c>
      <c r="E95" s="170" t="s">
        <v>135</v>
      </c>
      <c r="F95" s="173">
        <f>SUM(F80:F80)</f>
        <v>226.55</v>
      </c>
      <c r="G95" s="210">
        <v>0.61699999999999999</v>
      </c>
      <c r="H95" s="173">
        <v>4</v>
      </c>
      <c r="I95" s="207"/>
      <c r="J95" s="205">
        <f>ROUND(PRODUCT(F95:I95),2)</f>
        <v>559.13</v>
      </c>
      <c r="K95" s="181"/>
    </row>
    <row r="96" spans="1:11" x14ac:dyDescent="0.2">
      <c r="A96" s="191"/>
      <c r="B96" s="191"/>
      <c r="C96" s="192"/>
      <c r="D96" s="206"/>
      <c r="E96" s="170"/>
      <c r="F96" s="205"/>
      <c r="G96" s="210"/>
      <c r="H96" s="173"/>
      <c r="I96" s="203" t="str">
        <f>"Total item "&amp;A89</f>
        <v>Total item 3.3</v>
      </c>
      <c r="J96" s="202">
        <f>SUM(J91:J95)</f>
        <v>769.93000000000006</v>
      </c>
      <c r="K96" s="181"/>
    </row>
    <row r="97" spans="1:11" s="48" customFormat="1" x14ac:dyDescent="0.2">
      <c r="A97" s="191"/>
      <c r="B97" s="191"/>
      <c r="C97" s="192"/>
      <c r="D97" s="193"/>
      <c r="E97" s="191"/>
      <c r="F97" s="194"/>
      <c r="G97" s="194"/>
      <c r="H97" s="194"/>
      <c r="I97" s="195"/>
      <c r="J97" s="194"/>
      <c r="K97" s="186"/>
    </row>
    <row r="98" spans="1:11" s="49" customFormat="1" ht="20.399999999999999" x14ac:dyDescent="0.2">
      <c r="A98" s="199" t="str">
        <f>'ORÇAMENTO SEM DESON'!A21</f>
        <v>3.4</v>
      </c>
      <c r="B98" s="199"/>
      <c r="C98" s="200"/>
      <c r="D98" s="201" t="str">
        <f>'ORÇAMENTO SEM DESON'!D21</f>
        <v>ARMAÇÃO DE BLOCO, VIGA BALDRAME OU SAPATA UTILIZANDO AÇO CA-50 DE 6,3 MM - MONTAGEM. AF_06/2017</v>
      </c>
      <c r="E98" s="199" t="str">
        <f>'ORÇAMENTO SEM DESON'!E21</f>
        <v>kg</v>
      </c>
      <c r="F98" s="202"/>
      <c r="G98" s="202"/>
      <c r="H98" s="202"/>
      <c r="I98" s="203"/>
      <c r="J98" s="202"/>
      <c r="K98" s="188"/>
    </row>
    <row r="99" spans="1:11" ht="20.399999999999999" x14ac:dyDescent="0.2">
      <c r="A99" s="191"/>
      <c r="B99" s="191"/>
      <c r="C99" s="192"/>
      <c r="D99" s="204"/>
      <c r="E99" s="170"/>
      <c r="F99" s="209" t="s">
        <v>159</v>
      </c>
      <c r="G99" s="173" t="s">
        <v>158</v>
      </c>
      <c r="H99" s="173" t="s">
        <v>106</v>
      </c>
      <c r="I99" s="173"/>
      <c r="J99" s="205"/>
      <c r="K99" s="181"/>
    </row>
    <row r="100" spans="1:11" x14ac:dyDescent="0.2">
      <c r="A100" s="191"/>
      <c r="B100" s="191"/>
      <c r="C100" s="192"/>
      <c r="D100" s="204"/>
      <c r="E100" s="170"/>
      <c r="F100" s="173"/>
      <c r="G100" s="210"/>
      <c r="H100" s="173"/>
      <c r="I100" s="173"/>
      <c r="J100" s="205"/>
      <c r="K100" s="181"/>
    </row>
    <row r="101" spans="1:11" x14ac:dyDescent="0.2">
      <c r="A101" s="191"/>
      <c r="B101" s="191"/>
      <c r="C101" s="192"/>
      <c r="D101" s="204" t="s">
        <v>345</v>
      </c>
      <c r="E101" s="170" t="s">
        <v>135</v>
      </c>
      <c r="F101" s="81">
        <f>((((0.3-0.05))*2)+((0.2-0.05)*2))+0.1</f>
        <v>0.9</v>
      </c>
      <c r="G101" s="210">
        <v>0.245</v>
      </c>
      <c r="H101" s="173">
        <f>F95/0.15</f>
        <v>1510.3333333333335</v>
      </c>
      <c r="I101" s="207"/>
      <c r="J101" s="205">
        <f>ROUND(PRODUCT(F101:I101),2)</f>
        <v>333.03</v>
      </c>
      <c r="K101" s="181"/>
    </row>
    <row r="102" spans="1:11" x14ac:dyDescent="0.2">
      <c r="A102" s="191"/>
      <c r="B102" s="191"/>
      <c r="C102" s="192"/>
      <c r="D102" s="206"/>
      <c r="E102" s="170"/>
      <c r="F102" s="205"/>
      <c r="G102" s="205"/>
      <c r="H102" s="205"/>
      <c r="I102" s="203" t="str">
        <f>"Total item "&amp;A98</f>
        <v>Total item 3.4</v>
      </c>
      <c r="J102" s="202">
        <f>SUM(J101:J101)</f>
        <v>333.03</v>
      </c>
      <c r="K102" s="181"/>
    </row>
    <row r="103" spans="1:11" s="48" customFormat="1" x14ac:dyDescent="0.2">
      <c r="A103" s="191"/>
      <c r="B103" s="191"/>
      <c r="C103" s="192"/>
      <c r="D103" s="193"/>
      <c r="E103" s="191"/>
      <c r="F103" s="194"/>
      <c r="G103" s="194"/>
      <c r="H103" s="194"/>
      <c r="I103" s="195"/>
      <c r="J103" s="194"/>
      <c r="K103" s="186"/>
    </row>
    <row r="104" spans="1:11" s="49" customFormat="1" ht="30.6" x14ac:dyDescent="0.2">
      <c r="A104" s="199" t="str">
        <f>'ORÇAMENTO SEM DESON'!A22</f>
        <v>3.5</v>
      </c>
      <c r="B104" s="199"/>
      <c r="C104" s="200"/>
      <c r="D104" s="201" t="str">
        <f>'ORÇAMENTO SEM DESON'!D22</f>
        <v>FABRICAÇÃO, MONTAGEM E DESMONTAGEM DE FÔRMA PARA VIGA BALDRAME, EM MADEIRA SERRADA, E=25 MM, 4 UTILIZAÇÕES. AF_06/2017</v>
      </c>
      <c r="E104" s="199" t="str">
        <f>'ORÇAMENTO SEM DESON'!E22</f>
        <v>m²</v>
      </c>
      <c r="F104" s="202"/>
      <c r="G104" s="202"/>
      <c r="H104" s="202"/>
      <c r="I104" s="203"/>
      <c r="J104" s="202"/>
      <c r="K104" s="188"/>
    </row>
    <row r="105" spans="1:11" x14ac:dyDescent="0.2">
      <c r="A105" s="191"/>
      <c r="B105" s="191"/>
      <c r="C105" s="192"/>
      <c r="D105" s="204"/>
      <c r="E105" s="170"/>
      <c r="F105" s="173" t="s">
        <v>112</v>
      </c>
      <c r="G105" s="173" t="s">
        <v>121</v>
      </c>
      <c r="H105" s="173" t="s">
        <v>122</v>
      </c>
      <c r="I105" s="173" t="s">
        <v>106</v>
      </c>
      <c r="J105" s="205"/>
      <c r="K105" s="181"/>
    </row>
    <row r="106" spans="1:11" x14ac:dyDescent="0.2">
      <c r="A106" s="191"/>
      <c r="B106" s="191"/>
      <c r="C106" s="192"/>
      <c r="D106" s="204" t="s">
        <v>181</v>
      </c>
      <c r="E106" s="170" t="s">
        <v>8</v>
      </c>
      <c r="F106" s="173">
        <f>F80</f>
        <v>226.55</v>
      </c>
      <c r="G106" s="173">
        <f>G80*2</f>
        <v>0.6</v>
      </c>
      <c r="H106" s="173"/>
      <c r="I106" s="207"/>
      <c r="J106" s="205">
        <f>ROUND(PRODUCT(F106:I106),2)</f>
        <v>135.93</v>
      </c>
      <c r="K106" s="181"/>
    </row>
    <row r="107" spans="1:11" x14ac:dyDescent="0.2">
      <c r="A107" s="191"/>
      <c r="B107" s="191"/>
      <c r="C107" s="192"/>
      <c r="D107" s="206"/>
      <c r="E107" s="170"/>
      <c r="F107" s="205"/>
      <c r="G107" s="205"/>
      <c r="H107" s="205"/>
      <c r="I107" s="203" t="str">
        <f>"Total item "&amp;A104</f>
        <v>Total item 3.5</v>
      </c>
      <c r="J107" s="202">
        <f>SUM(J106:J106)</f>
        <v>135.93</v>
      </c>
      <c r="K107" s="181"/>
    </row>
    <row r="108" spans="1:11" s="48" customFormat="1" x14ac:dyDescent="0.2">
      <c r="A108" s="191"/>
      <c r="B108" s="191"/>
      <c r="C108" s="192"/>
      <c r="D108" s="193"/>
      <c r="E108" s="191"/>
      <c r="F108" s="194"/>
      <c r="G108" s="194"/>
      <c r="H108" s="194"/>
      <c r="I108" s="195"/>
      <c r="J108" s="194"/>
      <c r="K108" s="186"/>
    </row>
    <row r="109" spans="1:11" s="49" customFormat="1" ht="20.399999999999999" customHeight="1" x14ac:dyDescent="0.2">
      <c r="A109" s="199" t="str">
        <f>'ORÇAMENTO SEM DESON'!A23</f>
        <v>3.6</v>
      </c>
      <c r="B109" s="199"/>
      <c r="C109" s="200"/>
      <c r="D109" s="201" t="str">
        <f>'ORÇAMENTO SEM DESON'!D23</f>
        <v>LASTRO DE CONCRETO MAGRO, APLICADO EM BLOCOS DE COROAMENTO OU SAPATAS, ESPESSURA DE 5 CM. AF_08/2017</v>
      </c>
      <c r="E109" s="199" t="str">
        <f>'ORÇAMENTO SEM DESON'!E23</f>
        <v>m²</v>
      </c>
      <c r="F109" s="202"/>
      <c r="G109" s="202"/>
      <c r="H109" s="202"/>
      <c r="I109" s="203"/>
      <c r="J109" s="202"/>
      <c r="K109" s="188"/>
    </row>
    <row r="110" spans="1:11" x14ac:dyDescent="0.2">
      <c r="A110" s="191"/>
      <c r="B110" s="191"/>
      <c r="C110" s="192"/>
      <c r="D110" s="218" t="s">
        <v>187</v>
      </c>
      <c r="E110" s="170"/>
      <c r="F110" s="173" t="s">
        <v>112</v>
      </c>
      <c r="G110" s="173" t="s">
        <v>122</v>
      </c>
      <c r="H110" s="173" t="s">
        <v>106</v>
      </c>
      <c r="I110" s="173" t="s">
        <v>16</v>
      </c>
      <c r="J110" s="205"/>
      <c r="K110" s="181"/>
    </row>
    <row r="111" spans="1:11" x14ac:dyDescent="0.2">
      <c r="A111" s="191"/>
      <c r="B111" s="191"/>
      <c r="C111" s="192"/>
      <c r="D111" s="204" t="s">
        <v>255</v>
      </c>
      <c r="E111" s="170" t="s">
        <v>8</v>
      </c>
      <c r="F111" s="173">
        <f>F74</f>
        <v>0.6</v>
      </c>
      <c r="G111" s="173">
        <f t="shared" ref="G111:H114" si="10">H74</f>
        <v>0.6</v>
      </c>
      <c r="H111" s="173">
        <f t="shared" si="10"/>
        <v>15</v>
      </c>
      <c r="I111" s="207"/>
      <c r="J111" s="205">
        <f t="shared" ref="J111:J115" si="11">ROUND(PRODUCT(F111:I111),2)</f>
        <v>5.4</v>
      </c>
      <c r="K111" s="181"/>
    </row>
    <row r="112" spans="1:11" x14ac:dyDescent="0.2">
      <c r="A112" s="191"/>
      <c r="B112" s="191"/>
      <c r="C112" s="192"/>
      <c r="D112" s="204" t="s">
        <v>232</v>
      </c>
      <c r="E112" s="170"/>
      <c r="F112" s="173">
        <f>F75</f>
        <v>0.6</v>
      </c>
      <c r="G112" s="173">
        <f t="shared" si="10"/>
        <v>0.6</v>
      </c>
      <c r="H112" s="173">
        <f t="shared" si="10"/>
        <v>24</v>
      </c>
      <c r="I112" s="207"/>
      <c r="J112" s="205">
        <f t="shared" si="11"/>
        <v>8.64</v>
      </c>
      <c r="K112" s="181"/>
    </row>
    <row r="113" spans="1:11" x14ac:dyDescent="0.2">
      <c r="A113" s="191"/>
      <c r="B113" s="191"/>
      <c r="C113" s="192"/>
      <c r="D113" s="204" t="s">
        <v>254</v>
      </c>
      <c r="E113" s="170"/>
      <c r="F113" s="173">
        <f>F76</f>
        <v>0.6</v>
      </c>
      <c r="G113" s="173">
        <f t="shared" si="10"/>
        <v>0.6</v>
      </c>
      <c r="H113" s="173">
        <f t="shared" si="10"/>
        <v>15</v>
      </c>
      <c r="I113" s="207"/>
      <c r="J113" s="205">
        <f t="shared" si="11"/>
        <v>5.4</v>
      </c>
      <c r="K113" s="181"/>
    </row>
    <row r="114" spans="1:11" x14ac:dyDescent="0.2">
      <c r="A114" s="191"/>
      <c r="B114" s="191"/>
      <c r="C114" s="192"/>
      <c r="D114" s="204" t="s">
        <v>233</v>
      </c>
      <c r="E114" s="170"/>
      <c r="F114" s="173">
        <f>F77</f>
        <v>0.6</v>
      </c>
      <c r="G114" s="173">
        <f t="shared" si="10"/>
        <v>0.6</v>
      </c>
      <c r="H114" s="173">
        <f t="shared" si="10"/>
        <v>24</v>
      </c>
      <c r="I114" s="207"/>
      <c r="J114" s="205">
        <f t="shared" si="11"/>
        <v>8.64</v>
      </c>
      <c r="K114" s="181"/>
    </row>
    <row r="115" spans="1:11" ht="20.399999999999999" x14ac:dyDescent="0.2">
      <c r="A115" s="191"/>
      <c r="B115" s="191"/>
      <c r="C115" s="192"/>
      <c r="D115" s="204" t="s">
        <v>356</v>
      </c>
      <c r="E115" s="170"/>
      <c r="F115" s="173">
        <v>0.6</v>
      </c>
      <c r="G115" s="173">
        <v>0.6</v>
      </c>
      <c r="H115" s="173">
        <v>1</v>
      </c>
      <c r="I115" s="173"/>
      <c r="J115" s="205">
        <f t="shared" si="11"/>
        <v>0.36</v>
      </c>
      <c r="K115" s="181"/>
    </row>
    <row r="116" spans="1:11" x14ac:dyDescent="0.2">
      <c r="A116" s="191"/>
      <c r="B116" s="191"/>
      <c r="C116" s="192"/>
      <c r="D116" s="206"/>
      <c r="E116" s="170"/>
      <c r="F116" s="205"/>
      <c r="G116" s="205"/>
      <c r="H116" s="205"/>
      <c r="I116" s="203" t="str">
        <f>"Total item "&amp;A109</f>
        <v>Total item 3.6</v>
      </c>
      <c r="J116" s="202">
        <f>SUM(J111:J115)</f>
        <v>28.44</v>
      </c>
      <c r="K116" s="181"/>
    </row>
    <row r="117" spans="1:11" s="48" customFormat="1" x14ac:dyDescent="0.2">
      <c r="A117" s="191"/>
      <c r="B117" s="191"/>
      <c r="C117" s="192"/>
      <c r="D117" s="193"/>
      <c r="E117" s="191"/>
      <c r="F117" s="194"/>
      <c r="G117" s="194"/>
      <c r="H117" s="194"/>
      <c r="I117" s="195"/>
      <c r="J117" s="194"/>
      <c r="K117" s="186"/>
    </row>
    <row r="118" spans="1:11" x14ac:dyDescent="0.2">
      <c r="A118" s="163" t="str">
        <f>'ORÇAMENTO SEM DESON'!A24</f>
        <v>4.0</v>
      </c>
      <c r="B118" s="164"/>
      <c r="C118" s="165"/>
      <c r="D118" s="196" t="str">
        <f>'ORÇAMENTO SEM DESON'!D24</f>
        <v>SUPERESTRUTURA</v>
      </c>
      <c r="E118" s="164"/>
      <c r="F118" s="197"/>
      <c r="G118" s="197"/>
      <c r="H118" s="197"/>
      <c r="I118" s="198"/>
      <c r="J118" s="197"/>
    </row>
    <row r="119" spans="1:11" x14ac:dyDescent="0.2">
      <c r="A119" s="191"/>
      <c r="B119" s="191"/>
      <c r="C119" s="192"/>
      <c r="D119" s="193"/>
      <c r="E119" s="191"/>
      <c r="F119" s="194"/>
      <c r="G119" s="194"/>
      <c r="H119" s="194"/>
      <c r="I119" s="195"/>
      <c r="J119" s="194"/>
    </row>
    <row r="120" spans="1:11" ht="20.399999999999999" x14ac:dyDescent="0.2">
      <c r="A120" s="199" t="str">
        <f>'ORÇAMENTO SEM DESON'!A25</f>
        <v>4.1</v>
      </c>
      <c r="B120" s="199"/>
      <c r="C120" s="200"/>
      <c r="D120" s="201" t="str">
        <f>'ORÇAMENTO SEM DESON'!D25</f>
        <v>DEMOLIÇÃO DE ALVENARIA DE TIJOLOS S/ REAPROVEITAMENTO</v>
      </c>
      <c r="E120" s="199" t="str">
        <f>'ORÇAMENTO SEM DESON'!E25</f>
        <v>m³</v>
      </c>
      <c r="F120" s="202"/>
      <c r="G120" s="202"/>
      <c r="H120" s="202"/>
      <c r="I120" s="203"/>
      <c r="J120" s="202"/>
    </row>
    <row r="121" spans="1:11" x14ac:dyDescent="0.2">
      <c r="A121" s="191"/>
      <c r="B121" s="191"/>
      <c r="C121" s="192"/>
      <c r="D121" s="204"/>
      <c r="E121" s="170"/>
      <c r="F121" s="173" t="s">
        <v>119</v>
      </c>
      <c r="G121" s="173" t="s">
        <v>122</v>
      </c>
      <c r="H121" s="173" t="s">
        <v>121</v>
      </c>
      <c r="I121" s="173"/>
      <c r="J121" s="205"/>
    </row>
    <row r="122" spans="1:11" x14ac:dyDescent="0.2">
      <c r="A122" s="191"/>
      <c r="B122" s="191"/>
      <c r="C122" s="192"/>
      <c r="D122" s="204" t="s">
        <v>256</v>
      </c>
      <c r="E122" s="170"/>
      <c r="F122" s="173">
        <f>F46-70.6</f>
        <v>112.27000000000001</v>
      </c>
      <c r="G122" s="173">
        <v>0.14000000000000001</v>
      </c>
      <c r="H122" s="205">
        <v>2.15</v>
      </c>
      <c r="I122" s="207"/>
      <c r="J122" s="205">
        <f t="shared" ref="J122" si="12">ROUND(PRODUCT(F122:I122),2)</f>
        <v>33.79</v>
      </c>
    </row>
    <row r="123" spans="1:11" x14ac:dyDescent="0.2">
      <c r="A123" s="191"/>
      <c r="B123" s="191"/>
      <c r="C123" s="192"/>
      <c r="D123" s="206"/>
      <c r="E123" s="170"/>
      <c r="F123" s="205"/>
      <c r="G123" s="205"/>
      <c r="H123" s="205"/>
      <c r="I123" s="203" t="str">
        <f>"Total item "&amp;A120</f>
        <v>Total item 4.1</v>
      </c>
      <c r="J123" s="202">
        <f>SUM(J122:J122)</f>
        <v>33.79</v>
      </c>
    </row>
    <row r="124" spans="1:11" x14ac:dyDescent="0.2">
      <c r="A124" s="191"/>
      <c r="B124" s="191"/>
      <c r="C124" s="192"/>
      <c r="D124" s="193"/>
      <c r="E124" s="191"/>
      <c r="F124" s="194"/>
      <c r="G124" s="194"/>
      <c r="H124" s="194"/>
      <c r="I124" s="195"/>
      <c r="J124" s="194"/>
    </row>
    <row r="125" spans="1:11" s="49" customFormat="1" ht="30.6" x14ac:dyDescent="0.2">
      <c r="A125" s="199" t="str">
        <f>'ORÇAMENTO SEM DESON'!A26</f>
        <v>4.2</v>
      </c>
      <c r="B125" s="199"/>
      <c r="C125" s="200"/>
      <c r="D125" s="201" t="str">
        <f>'ORÇAMENTO SEM DESON'!D26</f>
        <v>CONCRETAGEM DE PILARES, FCK = 25 MPA, COM USO DE BALDES - LANÇAMENTO, ADENSAMENTO E ACABAMENTO. AF_02/2022</v>
      </c>
      <c r="E125" s="199" t="str">
        <f>'ORÇAMENTO SEM DESON'!E26</f>
        <v>m³</v>
      </c>
      <c r="F125" s="202"/>
      <c r="G125" s="202"/>
      <c r="H125" s="202"/>
      <c r="I125" s="203"/>
      <c r="J125" s="202"/>
      <c r="K125" s="188"/>
    </row>
    <row r="126" spans="1:11" x14ac:dyDescent="0.2">
      <c r="A126" s="191"/>
      <c r="B126" s="191"/>
      <c r="C126" s="192"/>
      <c r="D126" s="204" t="s">
        <v>290</v>
      </c>
      <c r="E126" s="170"/>
      <c r="F126" s="173" t="s">
        <v>112</v>
      </c>
      <c r="G126" s="173" t="s">
        <v>121</v>
      </c>
      <c r="H126" s="173" t="s">
        <v>122</v>
      </c>
      <c r="I126" s="173" t="s">
        <v>106</v>
      </c>
      <c r="J126" s="205"/>
      <c r="K126" s="181"/>
    </row>
    <row r="127" spans="1:11" ht="20.399999999999999" x14ac:dyDescent="0.2">
      <c r="A127" s="191"/>
      <c r="B127" s="191"/>
      <c r="C127" s="192"/>
      <c r="D127" s="204" t="s">
        <v>292</v>
      </c>
      <c r="E127" s="170" t="s">
        <v>18</v>
      </c>
      <c r="F127" s="173">
        <v>0.25</v>
      </c>
      <c r="G127" s="173">
        <f>0.3+0.6+1.4</f>
        <v>2.2999999999999998</v>
      </c>
      <c r="H127" s="173">
        <v>0.12</v>
      </c>
      <c r="I127" s="208">
        <f>I82</f>
        <v>17</v>
      </c>
      <c r="J127" s="205">
        <f t="shared" ref="J127:J131" si="13">ROUND(PRODUCT(F127:I127),2)</f>
        <v>1.17</v>
      </c>
      <c r="K127" s="181"/>
    </row>
    <row r="128" spans="1:11" ht="20.399999999999999" x14ac:dyDescent="0.2">
      <c r="A128" s="191"/>
      <c r="B128" s="191"/>
      <c r="C128" s="192"/>
      <c r="D128" s="204" t="s">
        <v>293</v>
      </c>
      <c r="E128" s="170"/>
      <c r="F128" s="173">
        <v>0.25</v>
      </c>
      <c r="G128" s="173">
        <f t="shared" ref="G128:G130" si="14">0.3+0.6+1.4</f>
        <v>2.2999999999999998</v>
      </c>
      <c r="H128" s="173">
        <v>0.12</v>
      </c>
      <c r="I128" s="208">
        <f>I83</f>
        <v>27</v>
      </c>
      <c r="J128" s="205">
        <f t="shared" si="13"/>
        <v>1.86</v>
      </c>
      <c r="K128" s="181"/>
    </row>
    <row r="129" spans="1:11" ht="20.399999999999999" x14ac:dyDescent="0.2">
      <c r="A129" s="191"/>
      <c r="B129" s="191"/>
      <c r="C129" s="192"/>
      <c r="D129" s="204" t="s">
        <v>291</v>
      </c>
      <c r="E129" s="170"/>
      <c r="F129" s="173">
        <v>0.25</v>
      </c>
      <c r="G129" s="173">
        <f t="shared" si="14"/>
        <v>2.2999999999999998</v>
      </c>
      <c r="H129" s="173">
        <v>0.12</v>
      </c>
      <c r="I129" s="208">
        <f>I84</f>
        <v>17</v>
      </c>
      <c r="J129" s="205">
        <f t="shared" si="13"/>
        <v>1.17</v>
      </c>
      <c r="K129" s="181"/>
    </row>
    <row r="130" spans="1:11" ht="20.399999999999999" x14ac:dyDescent="0.2">
      <c r="A130" s="191"/>
      <c r="B130" s="191"/>
      <c r="C130" s="192"/>
      <c r="D130" s="204" t="s">
        <v>294</v>
      </c>
      <c r="E130" s="170"/>
      <c r="F130" s="173">
        <v>0.25</v>
      </c>
      <c r="G130" s="173">
        <f t="shared" si="14"/>
        <v>2.2999999999999998</v>
      </c>
      <c r="H130" s="173">
        <v>0.12</v>
      </c>
      <c r="I130" s="208">
        <f>I85</f>
        <v>27</v>
      </c>
      <c r="J130" s="205">
        <f t="shared" si="13"/>
        <v>1.86</v>
      </c>
      <c r="K130" s="181"/>
    </row>
    <row r="131" spans="1:11" x14ac:dyDescent="0.2">
      <c r="A131" s="191"/>
      <c r="B131" s="191"/>
      <c r="C131" s="192"/>
      <c r="D131" s="204" t="s">
        <v>355</v>
      </c>
      <c r="E131" s="170"/>
      <c r="F131" s="173">
        <v>0.15</v>
      </c>
      <c r="G131" s="173">
        <v>2.6</v>
      </c>
      <c r="H131" s="173">
        <v>0.15</v>
      </c>
      <c r="I131" s="173">
        <v>1</v>
      </c>
      <c r="J131" s="205">
        <f t="shared" si="13"/>
        <v>0.06</v>
      </c>
      <c r="K131" s="181"/>
    </row>
    <row r="132" spans="1:11" x14ac:dyDescent="0.2">
      <c r="A132" s="191"/>
      <c r="B132" s="191"/>
      <c r="C132" s="192"/>
      <c r="D132" s="206"/>
      <c r="E132" s="170"/>
      <c r="F132" s="205"/>
      <c r="G132" s="205"/>
      <c r="H132" s="205"/>
      <c r="I132" s="203" t="str">
        <f>"Total item "&amp;A125</f>
        <v>Total item 4.2</v>
      </c>
      <c r="J132" s="202">
        <f>SUM(J127:J131)</f>
        <v>6.12</v>
      </c>
      <c r="K132" s="181"/>
    </row>
    <row r="133" spans="1:11" s="48" customFormat="1" x14ac:dyDescent="0.2">
      <c r="A133" s="191"/>
      <c r="B133" s="191"/>
      <c r="C133" s="192"/>
      <c r="D133" s="193"/>
      <c r="E133" s="191"/>
      <c r="F133" s="194"/>
      <c r="G133" s="194"/>
      <c r="H133" s="194"/>
      <c r="I133" s="195"/>
      <c r="J133" s="194"/>
      <c r="K133" s="186"/>
    </row>
    <row r="134" spans="1:11" s="49" customFormat="1" ht="40.799999999999997" x14ac:dyDescent="0.2">
      <c r="A134" s="199" t="str">
        <f>'ORÇAMENTO SEM DESON'!A27</f>
        <v>4.3</v>
      </c>
      <c r="B134" s="199"/>
      <c r="C134" s="200"/>
      <c r="D134" s="201" t="str">
        <f>'ORÇAMENTO SEM DESON'!D27</f>
        <v>CONCRETAGEM DE VIGAS E LAJES, FCK=25 MPA, PARA QUALQUER TIPO DE LAJE COM BALDES EM EDIFICAÇÃO TÉRREA - LANÇAMENTO, ADENSAMENTO E ACABAMENTO. AF_02/2022</v>
      </c>
      <c r="E134" s="199" t="str">
        <f>'ORÇAMENTO SEM DESON'!E27</f>
        <v>m³</v>
      </c>
      <c r="F134" s="202"/>
      <c r="G134" s="202"/>
      <c r="H134" s="202"/>
      <c r="I134" s="203"/>
      <c r="J134" s="202"/>
      <c r="K134" s="188"/>
    </row>
    <row r="135" spans="1:11" x14ac:dyDescent="0.2">
      <c r="A135" s="191"/>
      <c r="B135" s="191"/>
      <c r="C135" s="192"/>
      <c r="D135" s="204"/>
      <c r="E135" s="170"/>
      <c r="F135" s="173" t="s">
        <v>112</v>
      </c>
      <c r="G135" s="173" t="s">
        <v>121</v>
      </c>
      <c r="H135" s="173" t="s">
        <v>122</v>
      </c>
      <c r="I135" s="173" t="s">
        <v>106</v>
      </c>
      <c r="J135" s="205"/>
      <c r="K135" s="181"/>
    </row>
    <row r="136" spans="1:11" x14ac:dyDescent="0.2">
      <c r="A136" s="191"/>
      <c r="B136" s="191"/>
      <c r="C136" s="192"/>
      <c r="D136" s="204" t="s">
        <v>281</v>
      </c>
      <c r="E136" s="170"/>
      <c r="F136" s="173">
        <f>F95</f>
        <v>226.55</v>
      </c>
      <c r="G136" s="173">
        <v>0.4</v>
      </c>
      <c r="H136" s="173">
        <v>0.12</v>
      </c>
      <c r="I136" s="208"/>
      <c r="J136" s="205">
        <f t="shared" ref="J136:J137" si="15">ROUND(PRODUCT(F136:I136),2)</f>
        <v>10.87</v>
      </c>
      <c r="K136" s="181"/>
    </row>
    <row r="137" spans="1:11" x14ac:dyDescent="0.2">
      <c r="A137" s="191"/>
      <c r="B137" s="191"/>
      <c r="C137" s="192"/>
      <c r="D137" s="204" t="s">
        <v>357</v>
      </c>
      <c r="E137" s="170"/>
      <c r="F137" s="173">
        <f>3.42+0.6</f>
        <v>4.0199999999999996</v>
      </c>
      <c r="G137" s="173">
        <v>0.4</v>
      </c>
      <c r="H137" s="173">
        <v>0.2</v>
      </c>
      <c r="I137" s="173">
        <v>1</v>
      </c>
      <c r="J137" s="205">
        <f t="shared" si="15"/>
        <v>0.32</v>
      </c>
      <c r="K137" s="181"/>
    </row>
    <row r="138" spans="1:11" x14ac:dyDescent="0.2">
      <c r="A138" s="191"/>
      <c r="B138" s="191"/>
      <c r="C138" s="192"/>
      <c r="D138" s="206"/>
      <c r="E138" s="170"/>
      <c r="F138" s="205"/>
      <c r="G138" s="205"/>
      <c r="H138" s="205"/>
      <c r="I138" s="203" t="str">
        <f>"Total item "&amp;A134</f>
        <v>Total item 4.3</v>
      </c>
      <c r="J138" s="202">
        <f>SUM(J136:J137)</f>
        <v>11.19</v>
      </c>
      <c r="K138" s="181"/>
    </row>
    <row r="139" spans="1:11" s="48" customFormat="1" x14ac:dyDescent="0.2">
      <c r="A139" s="191"/>
      <c r="B139" s="191"/>
      <c r="C139" s="192"/>
      <c r="D139" s="193"/>
      <c r="E139" s="191"/>
      <c r="F139" s="194"/>
      <c r="G139" s="194"/>
      <c r="H139" s="194"/>
      <c r="I139" s="195"/>
      <c r="J139" s="194"/>
      <c r="K139" s="186"/>
    </row>
    <row r="140" spans="1:11" s="49" customFormat="1" ht="30.6" x14ac:dyDescent="0.2">
      <c r="A140" s="199" t="str">
        <f>'ORÇAMENTO SEM DESON'!A28</f>
        <v>4.4</v>
      </c>
      <c r="B140" s="199"/>
      <c r="C140" s="200"/>
      <c r="D140" s="201" t="str">
        <f>'ORÇAMENTO SEM DESON'!D28</f>
        <v>ARMAÇÃO DE PILAR OU VIGA DE ESTRUTURA DE CONCRETO ARMADO EMBUTIDA EM ALVENARIA DE VEDAÇÃO UTILIZANDO AÇO CA-50 DE 10,0 MM - MONTAGEM. AF_06/ 2022</v>
      </c>
      <c r="E140" s="199" t="str">
        <f>'ORÇAMENTO SEM DESON'!E28</f>
        <v>kg</v>
      </c>
      <c r="F140" s="202"/>
      <c r="G140" s="202"/>
      <c r="H140" s="202"/>
      <c r="I140" s="203"/>
      <c r="J140" s="202"/>
      <c r="K140" s="188"/>
    </row>
    <row r="141" spans="1:11" ht="20.399999999999999" x14ac:dyDescent="0.2">
      <c r="A141" s="191"/>
      <c r="B141" s="191"/>
      <c r="C141" s="192"/>
      <c r="D141" s="204" t="s">
        <v>21</v>
      </c>
      <c r="E141" s="170"/>
      <c r="F141" s="209" t="s">
        <v>166</v>
      </c>
      <c r="G141" s="209" t="s">
        <v>165</v>
      </c>
      <c r="H141" s="173" t="s">
        <v>167</v>
      </c>
      <c r="I141" s="211" t="s">
        <v>169</v>
      </c>
      <c r="J141" s="205"/>
      <c r="K141" s="181"/>
    </row>
    <row r="142" spans="1:11" x14ac:dyDescent="0.2">
      <c r="A142" s="191"/>
      <c r="B142" s="191"/>
      <c r="C142" s="192"/>
      <c r="D142" s="204" t="s">
        <v>255</v>
      </c>
      <c r="E142" s="170" t="s">
        <v>135</v>
      </c>
      <c r="F142" s="173">
        <f>(G127+0.5)*4</f>
        <v>11.2</v>
      </c>
      <c r="G142" s="173">
        <f>I127</f>
        <v>17</v>
      </c>
      <c r="H142" s="220">
        <v>0.61699999999999999</v>
      </c>
      <c r="I142" s="152"/>
      <c r="J142" s="205">
        <f t="shared" ref="J142:J148" si="16">ROUND(PRODUCT(F142:I142),2)</f>
        <v>117.48</v>
      </c>
      <c r="K142" s="181"/>
    </row>
    <row r="143" spans="1:11" x14ac:dyDescent="0.2">
      <c r="A143" s="191"/>
      <c r="B143" s="191"/>
      <c r="C143" s="192"/>
      <c r="D143" s="204" t="s">
        <v>232</v>
      </c>
      <c r="E143" s="170"/>
      <c r="F143" s="173">
        <f>(G128+0.5)*4</f>
        <v>11.2</v>
      </c>
      <c r="G143" s="173">
        <f>I128</f>
        <v>27</v>
      </c>
      <c r="H143" s="220">
        <v>0.61699999999999999</v>
      </c>
      <c r="I143" s="152"/>
      <c r="J143" s="205">
        <f t="shared" si="16"/>
        <v>186.58</v>
      </c>
      <c r="K143" s="181"/>
    </row>
    <row r="144" spans="1:11" x14ac:dyDescent="0.2">
      <c r="A144" s="191"/>
      <c r="B144" s="191"/>
      <c r="C144" s="192"/>
      <c r="D144" s="204" t="s">
        <v>254</v>
      </c>
      <c r="E144" s="170"/>
      <c r="F144" s="173">
        <f>(G129+0.5)*4</f>
        <v>11.2</v>
      </c>
      <c r="G144" s="173">
        <f>I129</f>
        <v>17</v>
      </c>
      <c r="H144" s="220">
        <v>0.61699999999999999</v>
      </c>
      <c r="I144" s="152"/>
      <c r="J144" s="205">
        <f t="shared" si="16"/>
        <v>117.48</v>
      </c>
      <c r="K144" s="181"/>
    </row>
    <row r="145" spans="1:12" x14ac:dyDescent="0.2">
      <c r="A145" s="191"/>
      <c r="B145" s="191"/>
      <c r="C145" s="192"/>
      <c r="D145" s="204" t="s">
        <v>233</v>
      </c>
      <c r="E145" s="170"/>
      <c r="F145" s="173">
        <f>(G130+0.5)*4</f>
        <v>11.2</v>
      </c>
      <c r="G145" s="173">
        <f>I130</f>
        <v>27</v>
      </c>
      <c r="H145" s="220">
        <v>0.61699999999999999</v>
      </c>
      <c r="I145" s="152"/>
      <c r="J145" s="205">
        <f t="shared" si="16"/>
        <v>186.58</v>
      </c>
      <c r="K145" s="181"/>
    </row>
    <row r="146" spans="1:12" x14ac:dyDescent="0.2">
      <c r="A146" s="191"/>
      <c r="B146" s="191"/>
      <c r="C146" s="192"/>
      <c r="D146" s="204" t="s">
        <v>355</v>
      </c>
      <c r="E146" s="170"/>
      <c r="F146" s="173">
        <f>(G131+0.5)*4</f>
        <v>12.4</v>
      </c>
      <c r="G146" s="173">
        <v>1</v>
      </c>
      <c r="H146" s="220">
        <v>0.61699999999999999</v>
      </c>
      <c r="I146" s="173"/>
      <c r="J146" s="205">
        <f t="shared" si="16"/>
        <v>7.65</v>
      </c>
      <c r="K146" s="181"/>
    </row>
    <row r="147" spans="1:12" ht="20.399999999999999" x14ac:dyDescent="0.2">
      <c r="A147" s="191"/>
      <c r="B147" s="191"/>
      <c r="C147" s="192"/>
      <c r="D147" s="204" t="s">
        <v>279</v>
      </c>
      <c r="E147" s="170" t="s">
        <v>135</v>
      </c>
      <c r="F147" s="173">
        <f>F95</f>
        <v>226.55</v>
      </c>
      <c r="G147" s="210">
        <v>4</v>
      </c>
      <c r="H147" s="220">
        <v>0.61699999999999999</v>
      </c>
      <c r="I147" s="207"/>
      <c r="J147" s="205">
        <f t="shared" si="16"/>
        <v>559.13</v>
      </c>
      <c r="K147" s="181"/>
    </row>
    <row r="148" spans="1:12" x14ac:dyDescent="0.2">
      <c r="A148" s="191"/>
      <c r="B148" s="191"/>
      <c r="C148" s="192"/>
      <c r="D148" s="204" t="s">
        <v>357</v>
      </c>
      <c r="E148" s="170"/>
      <c r="F148" s="173">
        <f>F137</f>
        <v>4.0199999999999996</v>
      </c>
      <c r="G148" s="210">
        <v>4</v>
      </c>
      <c r="H148" s="220">
        <v>0.61699999999999999</v>
      </c>
      <c r="I148" s="173"/>
      <c r="J148" s="205">
        <f t="shared" si="16"/>
        <v>9.92</v>
      </c>
      <c r="K148" s="181"/>
    </row>
    <row r="149" spans="1:12" x14ac:dyDescent="0.2">
      <c r="A149" s="191"/>
      <c r="B149" s="191"/>
      <c r="C149" s="192"/>
      <c r="D149" s="206"/>
      <c r="E149" s="170"/>
      <c r="F149" s="205"/>
      <c r="G149" s="205"/>
      <c r="H149" s="205"/>
      <c r="I149" s="203" t="str">
        <f>"Total item "&amp;A140</f>
        <v>Total item 4.4</v>
      </c>
      <c r="J149" s="202">
        <f>SUM(J142:J148)</f>
        <v>1184.8200000000002</v>
      </c>
      <c r="K149" s="181"/>
    </row>
    <row r="150" spans="1:12" s="48" customFormat="1" x14ac:dyDescent="0.2">
      <c r="A150" s="191"/>
      <c r="B150" s="191"/>
      <c r="C150" s="192"/>
      <c r="D150" s="193"/>
      <c r="E150" s="191"/>
      <c r="F150" s="194"/>
      <c r="G150" s="194"/>
      <c r="H150" s="194"/>
      <c r="I150" s="195"/>
      <c r="J150" s="194"/>
      <c r="K150" s="186"/>
    </row>
    <row r="151" spans="1:12" s="49" customFormat="1" ht="30.6" x14ac:dyDescent="0.2">
      <c r="A151" s="199" t="str">
        <f>'ORÇAMENTO SEM DESON'!A29</f>
        <v>4.5</v>
      </c>
      <c r="B151" s="199"/>
      <c r="C151" s="200"/>
      <c r="D151" s="201" t="str">
        <f>'ORÇAMENTO SEM DESON'!D29</f>
        <v>ARMAÇÃO DE PILAR OU VIGA DE ESTRUTURA DE CONCRETO ARMADO EMBUTIDA EM ALVENARIA DE VEDAÇÃO UTILIZANDO AÇO CA-50 DE 6,3 MM - MONTAGEM. AF_06/2 022</v>
      </c>
      <c r="E151" s="199" t="str">
        <f>'ORÇAMENTO SEM DESON'!E29</f>
        <v>kg</v>
      </c>
      <c r="F151" s="202"/>
      <c r="G151" s="202"/>
      <c r="H151" s="202"/>
      <c r="I151" s="203"/>
      <c r="J151" s="202"/>
      <c r="K151" s="188"/>
    </row>
    <row r="152" spans="1:12" ht="20.399999999999999" x14ac:dyDescent="0.2">
      <c r="A152" s="191"/>
      <c r="B152" s="191"/>
      <c r="C152" s="192"/>
      <c r="D152" s="204" t="s">
        <v>289</v>
      </c>
      <c r="E152" s="170"/>
      <c r="F152" s="173" t="s">
        <v>112</v>
      </c>
      <c r="G152" s="209" t="s">
        <v>164</v>
      </c>
      <c r="H152" s="209" t="s">
        <v>168</v>
      </c>
      <c r="I152" s="173" t="s">
        <v>167</v>
      </c>
      <c r="J152" s="205"/>
      <c r="K152" s="181"/>
    </row>
    <row r="153" spans="1:12" x14ac:dyDescent="0.2">
      <c r="A153" s="191"/>
      <c r="B153" s="191"/>
      <c r="C153" s="192"/>
      <c r="D153" s="204" t="s">
        <v>255</v>
      </c>
      <c r="E153" s="170" t="s">
        <v>135</v>
      </c>
      <c r="F153" s="222">
        <f>0.07+0.07+0.2+0.2+0.1</f>
        <v>0.64</v>
      </c>
      <c r="G153" s="173">
        <f>G127/0.15</f>
        <v>15.333333333333332</v>
      </c>
      <c r="H153" s="173">
        <f>I127</f>
        <v>17</v>
      </c>
      <c r="I153" s="210">
        <v>0.245</v>
      </c>
      <c r="J153" s="205">
        <f t="shared" ref="J153:J157" si="17">ROUND(PRODUCT(F153:I153),2)</f>
        <v>40.869999999999997</v>
      </c>
      <c r="K153" s="221">
        <f>((0.3-0.05)*2)+((0.12-0.05)*2)+0.1</f>
        <v>0.74</v>
      </c>
      <c r="L153" s="45">
        <f>((0.25-0.05)*2)+((0.12-0.05)*2)</f>
        <v>0.54</v>
      </c>
    </row>
    <row r="154" spans="1:12" x14ac:dyDescent="0.2">
      <c r="A154" s="191"/>
      <c r="B154" s="191"/>
      <c r="C154" s="192"/>
      <c r="D154" s="204" t="s">
        <v>232</v>
      </c>
      <c r="E154" s="170"/>
      <c r="F154" s="222">
        <f t="shared" ref="F154:F156" si="18">0.07+0.07+0.2+0.2+0.1</f>
        <v>0.64</v>
      </c>
      <c r="G154" s="173">
        <f>G128/0.15</f>
        <v>15.333333333333332</v>
      </c>
      <c r="H154" s="173">
        <f>I128</f>
        <v>27</v>
      </c>
      <c r="I154" s="210">
        <v>0.245</v>
      </c>
      <c r="J154" s="205">
        <f t="shared" si="17"/>
        <v>64.92</v>
      </c>
      <c r="K154" s="241"/>
    </row>
    <row r="155" spans="1:12" x14ac:dyDescent="0.2">
      <c r="A155" s="191"/>
      <c r="B155" s="191"/>
      <c r="C155" s="192"/>
      <c r="D155" s="204" t="s">
        <v>254</v>
      </c>
      <c r="E155" s="170"/>
      <c r="F155" s="222">
        <f t="shared" si="18"/>
        <v>0.64</v>
      </c>
      <c r="G155" s="173">
        <f>G129/0.15</f>
        <v>15.333333333333332</v>
      </c>
      <c r="H155" s="173">
        <f>I129</f>
        <v>17</v>
      </c>
      <c r="I155" s="210">
        <v>0.245</v>
      </c>
      <c r="J155" s="205">
        <f t="shared" si="17"/>
        <v>40.869999999999997</v>
      </c>
      <c r="K155" s="241"/>
    </row>
    <row r="156" spans="1:12" x14ac:dyDescent="0.2">
      <c r="A156" s="191"/>
      <c r="B156" s="191"/>
      <c r="C156" s="192"/>
      <c r="D156" s="204" t="s">
        <v>233</v>
      </c>
      <c r="E156" s="170"/>
      <c r="F156" s="222">
        <f t="shared" si="18"/>
        <v>0.64</v>
      </c>
      <c r="G156" s="173">
        <f>G130/0.15</f>
        <v>15.333333333333332</v>
      </c>
      <c r="H156" s="173">
        <f>I130</f>
        <v>27</v>
      </c>
      <c r="I156" s="210">
        <v>0.245</v>
      </c>
      <c r="J156" s="205">
        <f t="shared" si="17"/>
        <v>64.92</v>
      </c>
      <c r="K156" s="221">
        <f>((0.15-0.05)*2)+((0.15-0.05)*2)</f>
        <v>0.39999999999999997</v>
      </c>
    </row>
    <row r="157" spans="1:12" x14ac:dyDescent="0.2">
      <c r="A157" s="191"/>
      <c r="B157" s="191"/>
      <c r="C157" s="192"/>
      <c r="D157" s="204" t="s">
        <v>355</v>
      </c>
      <c r="E157" s="170"/>
      <c r="F157" s="222">
        <f>0.07+0.07+0.1+0.1+0.1</f>
        <v>0.44000000000000006</v>
      </c>
      <c r="G157" s="173">
        <f>G131/0.15</f>
        <v>17.333333333333336</v>
      </c>
      <c r="H157" s="173">
        <f>I131</f>
        <v>1</v>
      </c>
      <c r="I157" s="210">
        <v>0.245</v>
      </c>
      <c r="J157" s="205">
        <f t="shared" si="17"/>
        <v>1.87</v>
      </c>
      <c r="K157" s="254">
        <f>0.15-0.05</f>
        <v>9.9999999999999992E-2</v>
      </c>
      <c r="L157" s="45">
        <f>0.12-0.025-0.025</f>
        <v>7.0000000000000007E-2</v>
      </c>
    </row>
    <row r="158" spans="1:12" x14ac:dyDescent="0.2">
      <c r="A158" s="191"/>
      <c r="B158" s="191"/>
      <c r="C158" s="192"/>
      <c r="D158" s="206"/>
      <c r="E158" s="170"/>
      <c r="F158" s="205"/>
      <c r="G158" s="205"/>
      <c r="H158" s="205"/>
      <c r="I158" s="203" t="str">
        <f>"Total item "&amp;A151</f>
        <v>Total item 4.5</v>
      </c>
      <c r="J158" s="202">
        <f>SUM(J153:J157)</f>
        <v>213.45</v>
      </c>
      <c r="K158" s="181"/>
    </row>
    <row r="159" spans="1:12" s="48" customFormat="1" x14ac:dyDescent="0.2">
      <c r="A159" s="191"/>
      <c r="B159" s="191"/>
      <c r="C159" s="192"/>
      <c r="D159" s="193"/>
      <c r="E159" s="191"/>
      <c r="F159" s="194"/>
      <c r="G159" s="194"/>
      <c r="H159" s="194"/>
      <c r="I159" s="195"/>
      <c r="J159" s="194"/>
      <c r="K159" s="186"/>
    </row>
    <row r="160" spans="1:12" s="49" customFormat="1" ht="30.6" x14ac:dyDescent="0.2">
      <c r="A160" s="199" t="str">
        <f>'ORÇAMENTO SEM DESON'!A30</f>
        <v>4.6</v>
      </c>
      <c r="B160" s="199"/>
      <c r="C160" s="200"/>
      <c r="D160" s="201" t="str">
        <f>'ORÇAMENTO SEM DESON'!D30</f>
        <v>ARMAÇÃO DE PILAR OU VIGA DE ESTRUTURA DE CONCRETO ARMADO EMBUTIDA EM ALVENARIA DE VEDAÇÃO UTILIZANDO AÇO CA-60 DE 5,0 MM - MONTAGEM. AF_06/2022</v>
      </c>
      <c r="E160" s="199" t="str">
        <f>'ORÇAMENTO SEM DESON'!E30</f>
        <v>kg</v>
      </c>
      <c r="F160" s="202"/>
      <c r="G160" s="202"/>
      <c r="H160" s="202"/>
      <c r="I160" s="203"/>
      <c r="J160" s="202"/>
      <c r="K160" s="188"/>
    </row>
    <row r="161" spans="1:11" s="49" customFormat="1" ht="20.399999999999999" x14ac:dyDescent="0.2">
      <c r="A161" s="191"/>
      <c r="B161" s="191"/>
      <c r="C161" s="192"/>
      <c r="D161" s="193"/>
      <c r="E161" s="191"/>
      <c r="F161" s="173" t="s">
        <v>112</v>
      </c>
      <c r="G161" s="209" t="s">
        <v>164</v>
      </c>
      <c r="H161" s="209" t="s">
        <v>168</v>
      </c>
      <c r="I161" s="173" t="s">
        <v>167</v>
      </c>
      <c r="J161" s="194"/>
      <c r="K161" s="188"/>
    </row>
    <row r="162" spans="1:11" x14ac:dyDescent="0.2">
      <c r="A162" s="191"/>
      <c r="B162" s="191"/>
      <c r="C162" s="192"/>
      <c r="D162" s="204" t="s">
        <v>280</v>
      </c>
      <c r="E162" s="170" t="s">
        <v>135</v>
      </c>
      <c r="F162" s="242">
        <f>((((0.4-0.05))*2)+((0.12-0.05)*2))+0.1</f>
        <v>0.94000000000000006</v>
      </c>
      <c r="G162" s="173">
        <f>F95/0.13</f>
        <v>1742.6923076923076</v>
      </c>
      <c r="H162" s="173"/>
      <c r="I162" s="210">
        <v>0.245</v>
      </c>
      <c r="J162" s="205">
        <f t="shared" ref="J162:J163" si="19">ROUND(PRODUCT(F162:I162),2)</f>
        <v>401.34</v>
      </c>
      <c r="K162" s="181"/>
    </row>
    <row r="163" spans="1:11" x14ac:dyDescent="0.2">
      <c r="A163" s="191"/>
      <c r="B163" s="191"/>
      <c r="C163" s="192"/>
      <c r="D163" s="204" t="s">
        <v>357</v>
      </c>
      <c r="E163" s="170"/>
      <c r="F163" s="242">
        <f>((((0.4-0.05))*2)+((0.2-0.05)*2))+0.1</f>
        <v>1.1000000000000001</v>
      </c>
      <c r="G163" s="173">
        <f>F137/0.13</f>
        <v>30.92307692307692</v>
      </c>
      <c r="H163" s="220"/>
      <c r="I163" s="210">
        <v>0.245</v>
      </c>
      <c r="J163" s="205">
        <f t="shared" si="19"/>
        <v>8.33</v>
      </c>
      <c r="K163" s="181"/>
    </row>
    <row r="164" spans="1:11" x14ac:dyDescent="0.2">
      <c r="A164" s="191"/>
      <c r="B164" s="191"/>
      <c r="C164" s="192"/>
      <c r="D164" s="45"/>
      <c r="E164" s="170"/>
      <c r="F164" s="205"/>
      <c r="G164" s="205"/>
      <c r="H164" s="205"/>
      <c r="I164" s="203" t="str">
        <f>"Total item "&amp;A160</f>
        <v>Total item 4.6</v>
      </c>
      <c r="J164" s="202">
        <f>SUM(J162:J163)</f>
        <v>409.66999999999996</v>
      </c>
      <c r="K164" s="181"/>
    </row>
    <row r="165" spans="1:11" s="48" customFormat="1" x14ac:dyDescent="0.2">
      <c r="A165" s="191"/>
      <c r="B165" s="191"/>
      <c r="C165" s="192"/>
      <c r="D165" s="193"/>
      <c r="E165" s="191"/>
      <c r="F165" s="194"/>
      <c r="G165" s="194"/>
      <c r="H165" s="194"/>
      <c r="I165" s="195"/>
      <c r="J165" s="194"/>
      <c r="K165" s="186"/>
    </row>
    <row r="166" spans="1:11" s="49" customFormat="1" ht="32.25" customHeight="1" x14ac:dyDescent="0.2">
      <c r="A166" s="199" t="str">
        <f>'ORÇAMENTO SEM DESON'!A31</f>
        <v>4.7</v>
      </c>
      <c r="B166" s="199"/>
      <c r="C166" s="200"/>
      <c r="D166" s="201" t="str">
        <f>'ORÇAMENTO SEM DESON'!D31</f>
        <v>MONTAGEM E DESMONTAGEM DE FÔRMA DE PILARES RETANGULARES E ESTRUTURAS SIMILARES, PÉ-DIREITO SIMPLES, EM MADEIRA SERRADA, 4 UTILIZAÇÕES. AF_09
 /2020</v>
      </c>
      <c r="E166" s="199" t="str">
        <f>'ORÇAMENTO SEM DESON'!E31</f>
        <v>m²</v>
      </c>
      <c r="F166" s="202"/>
      <c r="G166" s="202"/>
      <c r="H166" s="202"/>
      <c r="I166" s="203"/>
      <c r="J166" s="202"/>
      <c r="K166" s="188"/>
    </row>
    <row r="167" spans="1:11" x14ac:dyDescent="0.2">
      <c r="A167" s="191"/>
      <c r="B167" s="191"/>
      <c r="C167" s="192"/>
      <c r="D167" s="204"/>
      <c r="E167" s="170"/>
      <c r="F167" s="211" t="s">
        <v>145</v>
      </c>
      <c r="G167" s="212" t="s">
        <v>121</v>
      </c>
      <c r="H167" s="173" t="s">
        <v>106</v>
      </c>
      <c r="I167" s="173"/>
      <c r="J167" s="205"/>
      <c r="K167" s="181"/>
    </row>
    <row r="168" spans="1:11" x14ac:dyDescent="0.2">
      <c r="A168" s="191"/>
      <c r="B168" s="191"/>
      <c r="C168" s="192"/>
      <c r="D168" s="204" t="s">
        <v>255</v>
      </c>
      <c r="E168" s="170" t="s">
        <v>8</v>
      </c>
      <c r="F168" s="173">
        <f>0.25+0.12+0.25+0.12</f>
        <v>0.74</v>
      </c>
      <c r="G168" s="224">
        <f>G127</f>
        <v>2.2999999999999998</v>
      </c>
      <c r="H168" s="173">
        <f>I127</f>
        <v>17</v>
      </c>
      <c r="I168" s="207"/>
      <c r="J168" s="205">
        <f t="shared" ref="J168:J172" si="20">ROUND(PRODUCT(F168:I168),2)</f>
        <v>28.93</v>
      </c>
      <c r="K168" s="181"/>
    </row>
    <row r="169" spans="1:11" x14ac:dyDescent="0.2">
      <c r="A169" s="191"/>
      <c r="B169" s="191"/>
      <c r="C169" s="192"/>
      <c r="D169" s="204" t="s">
        <v>232</v>
      </c>
      <c r="E169" s="170"/>
      <c r="F169" s="173">
        <f t="shared" ref="F169:F171" si="21">0.25+0.12+0.25+0.12</f>
        <v>0.74</v>
      </c>
      <c r="G169" s="224">
        <f>G128</f>
        <v>2.2999999999999998</v>
      </c>
      <c r="H169" s="173">
        <f>I128</f>
        <v>27</v>
      </c>
      <c r="I169" s="207"/>
      <c r="J169" s="205">
        <f t="shared" si="20"/>
        <v>45.95</v>
      </c>
      <c r="K169" s="181"/>
    </row>
    <row r="170" spans="1:11" x14ac:dyDescent="0.2">
      <c r="A170" s="191"/>
      <c r="B170" s="191"/>
      <c r="C170" s="192"/>
      <c r="D170" s="204" t="s">
        <v>254</v>
      </c>
      <c r="E170" s="170"/>
      <c r="F170" s="173">
        <f t="shared" si="21"/>
        <v>0.74</v>
      </c>
      <c r="G170" s="224">
        <f>G129</f>
        <v>2.2999999999999998</v>
      </c>
      <c r="H170" s="173">
        <f>I129</f>
        <v>17</v>
      </c>
      <c r="I170" s="207"/>
      <c r="J170" s="205">
        <f t="shared" si="20"/>
        <v>28.93</v>
      </c>
      <c r="K170" s="181"/>
    </row>
    <row r="171" spans="1:11" x14ac:dyDescent="0.2">
      <c r="A171" s="191"/>
      <c r="B171" s="191"/>
      <c r="C171" s="192"/>
      <c r="D171" s="204" t="s">
        <v>233</v>
      </c>
      <c r="E171" s="170"/>
      <c r="F171" s="173">
        <f t="shared" si="21"/>
        <v>0.74</v>
      </c>
      <c r="G171" s="224">
        <f>G130</f>
        <v>2.2999999999999998</v>
      </c>
      <c r="H171" s="173">
        <f>I130</f>
        <v>27</v>
      </c>
      <c r="I171" s="207"/>
      <c r="J171" s="205">
        <f t="shared" si="20"/>
        <v>45.95</v>
      </c>
      <c r="K171" s="181"/>
    </row>
    <row r="172" spans="1:11" x14ac:dyDescent="0.2">
      <c r="A172" s="191"/>
      <c r="B172" s="191"/>
      <c r="C172" s="192"/>
      <c r="D172" s="204"/>
      <c r="E172" s="170"/>
      <c r="F172" s="173">
        <f>0.15+0.15+0.15+0.15</f>
        <v>0.6</v>
      </c>
      <c r="G172" s="224">
        <f>G131</f>
        <v>2.6</v>
      </c>
      <c r="H172" s="173">
        <f>I131</f>
        <v>1</v>
      </c>
      <c r="I172" s="207"/>
      <c r="J172" s="205">
        <f t="shared" si="20"/>
        <v>1.56</v>
      </c>
      <c r="K172" s="181"/>
    </row>
    <row r="173" spans="1:11" x14ac:dyDescent="0.2">
      <c r="A173" s="191"/>
      <c r="B173" s="191"/>
      <c r="C173" s="192"/>
      <c r="D173" s="206"/>
      <c r="E173" s="170"/>
      <c r="F173" s="205"/>
      <c r="G173" s="205"/>
      <c r="H173" s="205"/>
      <c r="I173" s="203" t="str">
        <f>"Total item "&amp;A166</f>
        <v>Total item 4.7</v>
      </c>
      <c r="J173" s="202">
        <f>SUM(J168:J172)</f>
        <v>151.32</v>
      </c>
      <c r="K173" s="181"/>
    </row>
    <row r="174" spans="1:11" s="48" customFormat="1" x14ac:dyDescent="0.2">
      <c r="A174" s="191"/>
      <c r="B174" s="191"/>
      <c r="C174" s="192"/>
      <c r="D174" s="193"/>
      <c r="E174" s="191"/>
      <c r="F174" s="194"/>
      <c r="G174" s="194"/>
      <c r="H174" s="194"/>
      <c r="I174" s="195"/>
      <c r="J174" s="194"/>
      <c r="K174" s="186"/>
    </row>
    <row r="175" spans="1:11" s="49" customFormat="1" ht="30.6" x14ac:dyDescent="0.2">
      <c r="A175" s="199" t="str">
        <f>'ORÇAMENTO SEM DESON'!A32</f>
        <v>4.8</v>
      </c>
      <c r="B175" s="199"/>
      <c r="C175" s="200"/>
      <c r="D175" s="201" t="str">
        <f>'ORÇAMENTO SEM DESON'!D32</f>
        <v>MONTAGEM E DESMONTAGEM DE FÔRMA DE VIGA, ESCORAMENTO COM PONTALETE DE MADEIRA, PÉ-DIREITO SIMPLES, EM MADEIRA SERRADA, 4 UTILIZAÇÕES. AF_09/2020</v>
      </c>
      <c r="E175" s="199" t="str">
        <f>'ORÇAMENTO SEM DESON'!E32</f>
        <v>m²</v>
      </c>
      <c r="F175" s="202"/>
      <c r="G175" s="202"/>
      <c r="H175" s="202"/>
      <c r="I175" s="203"/>
      <c r="J175" s="202"/>
      <c r="K175" s="188"/>
    </row>
    <row r="176" spans="1:11" x14ac:dyDescent="0.2">
      <c r="A176" s="191"/>
      <c r="B176" s="191"/>
      <c r="C176" s="192"/>
      <c r="D176" s="204"/>
      <c r="E176" s="170"/>
      <c r="F176" s="173" t="s">
        <v>112</v>
      </c>
      <c r="G176" s="173" t="s">
        <v>121</v>
      </c>
      <c r="H176" s="173" t="s">
        <v>122</v>
      </c>
      <c r="I176" s="173" t="s">
        <v>106</v>
      </c>
      <c r="J176" s="205"/>
      <c r="K176" s="181"/>
    </row>
    <row r="177" spans="1:11" x14ac:dyDescent="0.2">
      <c r="A177" s="191"/>
      <c r="B177" s="191"/>
      <c r="C177" s="192"/>
      <c r="D177" s="204" t="s">
        <v>181</v>
      </c>
      <c r="E177" s="170" t="s">
        <v>8</v>
      </c>
      <c r="F177" s="173">
        <f>F147</f>
        <v>226.55</v>
      </c>
      <c r="G177" s="173">
        <f>0.4+0.4</f>
        <v>0.8</v>
      </c>
      <c r="H177" s="173"/>
      <c r="I177" s="207"/>
      <c r="J177" s="205">
        <f t="shared" ref="J177:J178" si="22">ROUND(PRODUCT(F177:I177),2)</f>
        <v>181.24</v>
      </c>
      <c r="K177" s="181"/>
    </row>
    <row r="178" spans="1:11" x14ac:dyDescent="0.2">
      <c r="A178" s="191"/>
      <c r="B178" s="191"/>
      <c r="C178" s="192"/>
      <c r="D178" s="204" t="s">
        <v>357</v>
      </c>
      <c r="E178" s="170"/>
      <c r="F178" s="173">
        <f>F148</f>
        <v>4.0199999999999996</v>
      </c>
      <c r="G178" s="173">
        <f>0.4+0.4+0.2</f>
        <v>1</v>
      </c>
      <c r="H178" s="173"/>
      <c r="I178" s="207"/>
      <c r="J178" s="205">
        <f t="shared" si="22"/>
        <v>4.0199999999999996</v>
      </c>
      <c r="K178" s="181"/>
    </row>
    <row r="179" spans="1:11" x14ac:dyDescent="0.2">
      <c r="A179" s="191"/>
      <c r="B179" s="191"/>
      <c r="C179" s="192"/>
      <c r="D179" s="206"/>
      <c r="E179" s="170"/>
      <c r="F179" s="205"/>
      <c r="G179" s="205"/>
      <c r="H179" s="205"/>
      <c r="I179" s="203" t="str">
        <f>"Total item "&amp;A175</f>
        <v>Total item 4.8</v>
      </c>
      <c r="J179" s="202">
        <f>SUM(J177:J178)</f>
        <v>185.26000000000002</v>
      </c>
      <c r="K179" s="181"/>
    </row>
    <row r="180" spans="1:11" s="48" customFormat="1" x14ac:dyDescent="0.2">
      <c r="A180" s="191"/>
      <c r="B180" s="191"/>
      <c r="C180" s="192"/>
      <c r="D180" s="193"/>
      <c r="E180" s="191"/>
      <c r="F180" s="194"/>
      <c r="G180" s="194"/>
      <c r="H180" s="194"/>
      <c r="I180" s="195"/>
      <c r="J180" s="194"/>
      <c r="K180" s="186"/>
    </row>
    <row r="181" spans="1:11" x14ac:dyDescent="0.2">
      <c r="A181" s="163" t="str">
        <f>'ORÇAMENTO SEM DESON'!A33</f>
        <v>5.0</v>
      </c>
      <c r="B181" s="164"/>
      <c r="C181" s="165"/>
      <c r="D181" s="196" t="str">
        <f>'ORÇAMENTO SEM DESON'!D33</f>
        <v>ALVENARIA DE VEDAÇÃO</v>
      </c>
      <c r="E181" s="164"/>
      <c r="F181" s="197"/>
      <c r="G181" s="197"/>
      <c r="H181" s="197"/>
      <c r="I181" s="198"/>
      <c r="J181" s="197"/>
    </row>
    <row r="182" spans="1:11" x14ac:dyDescent="0.2">
      <c r="A182" s="191"/>
      <c r="B182" s="191"/>
      <c r="C182" s="192"/>
      <c r="D182" s="193"/>
      <c r="E182" s="191"/>
      <c r="F182" s="194"/>
      <c r="G182" s="194"/>
      <c r="H182" s="194"/>
      <c r="I182" s="195"/>
      <c r="J182" s="194"/>
    </row>
    <row r="183" spans="1:11" s="49" customFormat="1" ht="40.799999999999997" x14ac:dyDescent="0.2">
      <c r="A183" s="199" t="str">
        <f>'ORÇAMENTO SEM DESON'!A34</f>
        <v>5.1</v>
      </c>
      <c r="B183" s="199"/>
      <c r="C183" s="200"/>
      <c r="D183" s="201" t="str">
        <f>'ORÇAMENTO SEM DESON'!D34</f>
        <v>ALVENARIA DE VEDAÇÃO DE BLOCOS CERÂMICOS FURADOS NA HORIZONTAL DE 9X19 X29 CM (ESPESSURA 9 CM) E ARGAMASSA DE ASSENTAMENTO COM PREPARO EM BETONEIRA. AF_12/2021</v>
      </c>
      <c r="E183" s="199" t="str">
        <f>'ORÇAMENTO SEM DESON'!E34</f>
        <v>m²</v>
      </c>
      <c r="F183" s="202"/>
      <c r="G183" s="202"/>
      <c r="H183" s="202"/>
      <c r="I183" s="203"/>
      <c r="J183" s="202"/>
      <c r="K183" s="188"/>
    </row>
    <row r="184" spans="1:11" x14ac:dyDescent="0.2">
      <c r="A184" s="191"/>
      <c r="B184" s="191"/>
      <c r="C184" s="192"/>
      <c r="D184" s="204"/>
      <c r="E184" s="170"/>
      <c r="F184" s="173" t="s">
        <v>119</v>
      </c>
      <c r="G184" s="173" t="s">
        <v>118</v>
      </c>
      <c r="H184" s="209" t="s">
        <v>16</v>
      </c>
      <c r="I184" s="209"/>
      <c r="J184" s="205"/>
      <c r="K184" s="181"/>
    </row>
    <row r="185" spans="1:11" x14ac:dyDescent="0.2">
      <c r="A185" s="191"/>
      <c r="B185" s="191"/>
      <c r="C185" s="192"/>
      <c r="D185" s="204" t="s">
        <v>255</v>
      </c>
      <c r="E185" s="170" t="s">
        <v>8</v>
      </c>
      <c r="F185" s="173">
        <v>42.25</v>
      </c>
      <c r="G185" s="173">
        <v>2.2999999999999998</v>
      </c>
      <c r="H185" s="205"/>
      <c r="I185" s="207"/>
      <c r="J185" s="205">
        <f t="shared" ref="J185:J189" si="23">ROUND(PRODUCT(F185:I185),2)</f>
        <v>97.18</v>
      </c>
      <c r="K185" s="181"/>
    </row>
    <row r="186" spans="1:11" x14ac:dyDescent="0.2">
      <c r="A186" s="191"/>
      <c r="B186" s="191"/>
      <c r="C186" s="192"/>
      <c r="D186" s="204" t="s">
        <v>232</v>
      </c>
      <c r="E186" s="170"/>
      <c r="F186" s="173">
        <v>70.02</v>
      </c>
      <c r="G186" s="173">
        <v>2.2999999999999998</v>
      </c>
      <c r="H186" s="205"/>
      <c r="I186" s="207"/>
      <c r="J186" s="205">
        <f t="shared" si="23"/>
        <v>161.05000000000001</v>
      </c>
      <c r="K186" s="181"/>
    </row>
    <row r="187" spans="1:11" x14ac:dyDescent="0.2">
      <c r="A187" s="191"/>
      <c r="B187" s="191"/>
      <c r="C187" s="192"/>
      <c r="D187" s="204" t="s">
        <v>254</v>
      </c>
      <c r="E187" s="170"/>
      <c r="F187" s="173">
        <v>43.68</v>
      </c>
      <c r="G187" s="173">
        <v>0.6</v>
      </c>
      <c r="H187" s="205"/>
      <c r="I187" s="207"/>
      <c r="J187" s="205">
        <f t="shared" si="23"/>
        <v>26.21</v>
      </c>
      <c r="K187" s="181"/>
    </row>
    <row r="188" spans="1:11" x14ac:dyDescent="0.2">
      <c r="A188" s="191"/>
      <c r="B188" s="191"/>
      <c r="C188" s="192"/>
      <c r="D188" s="204" t="s">
        <v>233</v>
      </c>
      <c r="E188" s="170"/>
      <c r="F188" s="173">
        <v>70.599999999999994</v>
      </c>
      <c r="G188" s="173">
        <v>2.2999999999999998</v>
      </c>
      <c r="H188" s="205"/>
      <c r="I188" s="207"/>
      <c r="J188" s="205">
        <f t="shared" si="23"/>
        <v>162.38</v>
      </c>
      <c r="K188" s="181"/>
    </row>
    <row r="189" spans="1:11" x14ac:dyDescent="0.2">
      <c r="A189" s="191"/>
      <c r="B189" s="191"/>
      <c r="C189" s="192"/>
      <c r="D189" s="204" t="s">
        <v>358</v>
      </c>
      <c r="E189" s="170"/>
      <c r="F189" s="173">
        <v>3.5</v>
      </c>
      <c r="G189" s="173">
        <v>0.9</v>
      </c>
      <c r="H189" s="205"/>
      <c r="I189" s="207"/>
      <c r="J189" s="205">
        <f t="shared" si="23"/>
        <v>3.15</v>
      </c>
      <c r="K189" s="181">
        <f>(3-2.1)/2</f>
        <v>0.44999999999999996</v>
      </c>
    </row>
    <row r="190" spans="1:11" x14ac:dyDescent="0.2">
      <c r="A190" s="191"/>
      <c r="B190" s="191"/>
      <c r="C190" s="192"/>
      <c r="D190" s="204"/>
      <c r="E190" s="152"/>
      <c r="F190" s="205"/>
      <c r="G190" s="205"/>
      <c r="H190" s="205"/>
      <c r="I190" s="203" t="str">
        <f>"Total item "&amp;A183</f>
        <v>Total item 5.1</v>
      </c>
      <c r="J190" s="202">
        <f>SUM(J185:J189)</f>
        <v>449.96999999999997</v>
      </c>
      <c r="K190" s="181"/>
    </row>
    <row r="191" spans="1:11" s="48" customFormat="1" x14ac:dyDescent="0.2">
      <c r="A191" s="191"/>
      <c r="B191" s="191"/>
      <c r="C191" s="192"/>
      <c r="D191" s="204"/>
      <c r="E191" s="191"/>
      <c r="F191" s="194"/>
      <c r="G191" s="194"/>
      <c r="H191" s="194"/>
      <c r="I191" s="195"/>
      <c r="J191" s="194"/>
      <c r="K191" s="186"/>
    </row>
    <row r="192" spans="1:11" s="69" customFormat="1" x14ac:dyDescent="0.2">
      <c r="A192" s="163" t="str">
        <f>'ORÇAMENTO SEM DESON'!A35</f>
        <v>6.0</v>
      </c>
      <c r="B192" s="164"/>
      <c r="C192" s="165"/>
      <c r="D192" s="196" t="str">
        <f>'ORÇAMENTO SEM DESON'!D35</f>
        <v>IMPERMEABILIZAÇÃO</v>
      </c>
      <c r="E192" s="164"/>
      <c r="F192" s="197"/>
      <c r="G192" s="197"/>
      <c r="H192" s="197"/>
      <c r="I192" s="198"/>
      <c r="J192" s="197"/>
      <c r="K192" s="187"/>
    </row>
    <row r="193" spans="1:11" s="48" customFormat="1" x14ac:dyDescent="0.2">
      <c r="A193" s="191"/>
      <c r="B193" s="191"/>
      <c r="C193" s="192"/>
      <c r="D193" s="193"/>
      <c r="E193" s="191"/>
      <c r="F193" s="194"/>
      <c r="G193" s="194"/>
      <c r="H193" s="194"/>
      <c r="I193" s="195"/>
      <c r="J193" s="194"/>
      <c r="K193" s="186"/>
    </row>
    <row r="194" spans="1:11" s="49" customFormat="1" ht="20.399999999999999" x14ac:dyDescent="0.2">
      <c r="A194" s="199" t="str">
        <f>'ORÇAMENTO SEM DESON'!A36</f>
        <v>6.1</v>
      </c>
      <c r="B194" s="199"/>
      <c r="C194" s="200"/>
      <c r="D194" s="201" t="str">
        <f>'ORÇAMENTO SEM DESON'!D36</f>
        <v>IMPERMEABILIZAÇÃO DE SUPERFÍCIE COM EMULSÃO ASFÁLTICA, 2 DEMÃOS AF_06/2018</v>
      </c>
      <c r="E194" s="199" t="str">
        <f>'ORÇAMENTO SEM DESON'!E36</f>
        <v>m²</v>
      </c>
      <c r="F194" s="202"/>
      <c r="G194" s="202"/>
      <c r="H194" s="202"/>
      <c r="I194" s="203"/>
      <c r="J194" s="202"/>
      <c r="K194" s="188"/>
    </row>
    <row r="195" spans="1:11" x14ac:dyDescent="0.2">
      <c r="A195" s="191"/>
      <c r="B195" s="191"/>
      <c r="C195" s="192"/>
      <c r="D195" s="204"/>
      <c r="E195" s="170"/>
      <c r="F195" s="173" t="s">
        <v>119</v>
      </c>
      <c r="G195" s="173"/>
      <c r="H195" s="173" t="s">
        <v>122</v>
      </c>
      <c r="I195" s="173"/>
      <c r="J195" s="205"/>
      <c r="K195" s="181"/>
    </row>
    <row r="196" spans="1:11" x14ac:dyDescent="0.2">
      <c r="A196" s="191"/>
      <c r="B196" s="191"/>
      <c r="C196" s="192"/>
      <c r="D196" s="218"/>
      <c r="E196" s="170" t="s">
        <v>8</v>
      </c>
      <c r="F196" s="173"/>
      <c r="G196" s="173"/>
      <c r="H196" s="173"/>
      <c r="I196" s="207"/>
      <c r="J196" s="205"/>
      <c r="K196" s="181"/>
    </row>
    <row r="197" spans="1:11" x14ac:dyDescent="0.2">
      <c r="A197" s="191"/>
      <c r="B197" s="191"/>
      <c r="C197" s="192"/>
      <c r="D197" s="204" t="s">
        <v>188</v>
      </c>
      <c r="E197" s="170"/>
      <c r="F197" s="173">
        <f>F80</f>
        <v>226.55</v>
      </c>
      <c r="G197" s="219"/>
      <c r="H197" s="173">
        <f>0.4+0.2+0.4</f>
        <v>1</v>
      </c>
      <c r="I197" s="207"/>
      <c r="J197" s="205">
        <f t="shared" ref="J197" si="24">ROUND(PRODUCT(F197:I197),2)</f>
        <v>226.55</v>
      </c>
      <c r="K197" s="181"/>
    </row>
    <row r="198" spans="1:11" x14ac:dyDescent="0.2">
      <c r="A198" s="191"/>
      <c r="B198" s="191"/>
      <c r="C198" s="192"/>
      <c r="D198" s="170"/>
      <c r="E198" s="170"/>
      <c r="F198" s="205"/>
      <c r="G198" s="205"/>
      <c r="H198" s="205"/>
      <c r="I198" s="203" t="str">
        <f>"Total item "&amp;A194</f>
        <v>Total item 6.1</v>
      </c>
      <c r="J198" s="202">
        <f>SUM(J196:J197)</f>
        <v>226.55</v>
      </c>
      <c r="K198" s="181"/>
    </row>
    <row r="199" spans="1:11" s="48" customFormat="1" x14ac:dyDescent="0.2">
      <c r="A199" s="191"/>
      <c r="B199" s="191"/>
      <c r="C199" s="192"/>
      <c r="D199" s="170"/>
      <c r="E199" s="191"/>
      <c r="F199" s="194"/>
      <c r="G199" s="194"/>
      <c r="H199" s="194"/>
      <c r="I199" s="195"/>
      <c r="J199" s="194"/>
      <c r="K199" s="186"/>
    </row>
    <row r="200" spans="1:11" x14ac:dyDescent="0.2">
      <c r="A200" s="163" t="str">
        <f>'ORÇAMENTO SEM DESON'!A37</f>
        <v>7.0</v>
      </c>
      <c r="B200" s="164"/>
      <c r="C200" s="165"/>
      <c r="D200" s="196" t="str">
        <f>'ORÇAMENTO SEM DESON'!D37</f>
        <v>REVESTIMENTOS</v>
      </c>
      <c r="E200" s="164"/>
      <c r="F200" s="197"/>
      <c r="G200" s="197"/>
      <c r="H200" s="197"/>
      <c r="I200" s="198"/>
      <c r="J200" s="197"/>
    </row>
    <row r="201" spans="1:11" x14ac:dyDescent="0.2">
      <c r="A201" s="191"/>
      <c r="B201" s="191"/>
      <c r="C201" s="192"/>
      <c r="D201" s="193"/>
      <c r="E201" s="191"/>
      <c r="F201" s="194"/>
      <c r="G201" s="194"/>
      <c r="H201" s="194"/>
      <c r="I201" s="195"/>
      <c r="J201" s="194"/>
    </row>
    <row r="202" spans="1:11" s="49" customFormat="1" ht="40.799999999999997" x14ac:dyDescent="0.2">
      <c r="A202" s="199" t="str">
        <f>'ORÇAMENTO SEM DESON'!A38</f>
        <v>7.1</v>
      </c>
      <c r="B202" s="199"/>
      <c r="C202" s="200"/>
      <c r="D202" s="201" t="str">
        <f>'ORÇAMENTO SEM DESON'!D38</f>
        <v>CHAPISCO APLICADO EM ALVENARIA (COM PRESENÇA DE VÃOS) E ESTRUTURAS DE CONCRETO DE FACHADA, COM COLHER DE PEDREIRO. ARGAMASSA TRAÇO 1:3 COM  PREPARO EM BETONEIRA 400L. AF_06/2014</v>
      </c>
      <c r="E202" s="199" t="str">
        <f>'ORÇAMENTO SEM DESON'!E38</f>
        <v>m²</v>
      </c>
      <c r="F202" s="202"/>
      <c r="G202" s="202"/>
      <c r="H202" s="202"/>
      <c r="I202" s="203"/>
      <c r="J202" s="202"/>
      <c r="K202" s="188"/>
    </row>
    <row r="203" spans="1:11" x14ac:dyDescent="0.2">
      <c r="A203" s="191"/>
      <c r="B203" s="191"/>
      <c r="C203" s="192"/>
      <c r="D203" s="204"/>
      <c r="E203" s="170"/>
      <c r="F203" s="173" t="s">
        <v>145</v>
      </c>
      <c r="G203" s="173" t="s">
        <v>121</v>
      </c>
      <c r="H203" s="209" t="s">
        <v>130</v>
      </c>
      <c r="I203" s="209" t="s">
        <v>189</v>
      </c>
      <c r="J203" s="205"/>
      <c r="K203" s="181"/>
    </row>
    <row r="204" spans="1:11" x14ac:dyDescent="0.2">
      <c r="A204" s="191"/>
      <c r="B204" s="191"/>
      <c r="C204" s="192"/>
      <c r="D204" s="204" t="s">
        <v>257</v>
      </c>
      <c r="E204" s="170" t="s">
        <v>8</v>
      </c>
      <c r="F204" s="173">
        <f>F185+F186+F188</f>
        <v>182.87</v>
      </c>
      <c r="G204" s="173">
        <v>2.2999999999999998</v>
      </c>
      <c r="H204" s="173">
        <v>2</v>
      </c>
      <c r="I204" s="173">
        <f>0.25*0.6*(17+26+26)</f>
        <v>10.35</v>
      </c>
      <c r="J204" s="205">
        <f>ROUND(((PRODUCT(F204:H204))-I204)*1.1,2)</f>
        <v>913.94</v>
      </c>
      <c r="K204" s="173"/>
    </row>
    <row r="205" spans="1:11" x14ac:dyDescent="0.2">
      <c r="A205" s="191"/>
      <c r="B205" s="191"/>
      <c r="C205" s="192"/>
      <c r="D205" s="204" t="s">
        <v>258</v>
      </c>
      <c r="E205" s="170"/>
      <c r="F205" s="173">
        <f>F187</f>
        <v>43.68</v>
      </c>
      <c r="G205" s="173">
        <v>0.6</v>
      </c>
      <c r="H205" s="173">
        <v>2</v>
      </c>
      <c r="I205" s="173">
        <f>0.25*0.6*17</f>
        <v>2.5499999999999998</v>
      </c>
      <c r="J205" s="205">
        <f>ROUND(((PRODUCT(F205:H205))-I205)*1.1,2)</f>
        <v>54.85</v>
      </c>
      <c r="K205" s="173"/>
    </row>
    <row r="206" spans="1:11" x14ac:dyDescent="0.2">
      <c r="A206" s="191"/>
      <c r="B206" s="191"/>
      <c r="C206" s="192"/>
      <c r="D206" s="204" t="s">
        <v>359</v>
      </c>
      <c r="E206" s="170"/>
      <c r="F206" s="173">
        <v>3.5</v>
      </c>
      <c r="G206" s="173">
        <v>0.9</v>
      </c>
      <c r="H206" s="173">
        <v>2</v>
      </c>
      <c r="I206" s="207"/>
      <c r="J206" s="205">
        <f>ROUND(PRODUCT(F206:I206),2)</f>
        <v>6.3</v>
      </c>
      <c r="K206" s="181">
        <f>(3-2.1)/2</f>
        <v>0.44999999999999996</v>
      </c>
    </row>
    <row r="207" spans="1:11" x14ac:dyDescent="0.2">
      <c r="A207" s="191"/>
      <c r="B207" s="191"/>
      <c r="C207" s="192"/>
      <c r="D207" s="204" t="s">
        <v>355</v>
      </c>
      <c r="E207" s="170"/>
      <c r="F207" s="173">
        <f>0.15*4</f>
        <v>0.6</v>
      </c>
      <c r="G207" s="173">
        <v>2.6</v>
      </c>
      <c r="H207" s="173"/>
      <c r="I207" s="173"/>
      <c r="J207" s="205">
        <f t="shared" ref="J207" si="25">ROUND(PRODUCT(F207:I207),2)</f>
        <v>1.56</v>
      </c>
      <c r="K207" s="181"/>
    </row>
    <row r="208" spans="1:11" x14ac:dyDescent="0.2">
      <c r="A208" s="191"/>
      <c r="B208" s="191"/>
      <c r="C208" s="192"/>
      <c r="D208" s="206"/>
      <c r="E208" s="170"/>
      <c r="F208" s="205"/>
      <c r="G208" s="205"/>
      <c r="H208" s="205"/>
      <c r="I208" s="203" t="str">
        <f>"Total item "&amp;A202</f>
        <v>Total item 7.1</v>
      </c>
      <c r="J208" s="202">
        <f>SUM(J204:J207)</f>
        <v>976.65</v>
      </c>
      <c r="K208" s="173"/>
    </row>
    <row r="209" spans="1:11" s="48" customFormat="1" x14ac:dyDescent="0.2">
      <c r="A209" s="191"/>
      <c r="B209" s="191"/>
      <c r="C209" s="192"/>
      <c r="D209" s="193"/>
      <c r="E209" s="191"/>
      <c r="F209" s="194"/>
      <c r="G209" s="194"/>
      <c r="H209" s="194"/>
      <c r="I209" s="195"/>
      <c r="J209" s="194"/>
      <c r="K209" s="208"/>
    </row>
    <row r="210" spans="1:11" ht="20.399999999999999" x14ac:dyDescent="0.2">
      <c r="A210" s="199" t="str">
        <f>'ORÇAMENTO SEM DESON'!A39</f>
        <v>7.2</v>
      </c>
      <c r="B210" s="199"/>
      <c r="C210" s="200"/>
      <c r="D210" s="201" t="str">
        <f>'ORÇAMENTO SEM DESON'!D39</f>
        <v>REBOCO C/ ARGAMASSA DE CIMENTO E AREIA PENEIRADA, TRAÇO 1:6</v>
      </c>
      <c r="E210" s="199" t="str">
        <f>'ORÇAMENTO SEM DESON'!E39</f>
        <v>m²</v>
      </c>
      <c r="F210" s="202"/>
      <c r="G210" s="202"/>
      <c r="H210" s="202"/>
      <c r="I210" s="203"/>
      <c r="J210" s="202"/>
    </row>
    <row r="211" spans="1:11" x14ac:dyDescent="0.2">
      <c r="A211" s="191"/>
      <c r="B211" s="191"/>
      <c r="C211" s="192"/>
      <c r="D211" s="204"/>
      <c r="E211" s="170"/>
      <c r="F211" s="173" t="s">
        <v>119</v>
      </c>
      <c r="G211" s="205" t="s">
        <v>121</v>
      </c>
      <c r="H211" s="152" t="s">
        <v>130</v>
      </c>
      <c r="I211" s="173" t="s">
        <v>180</v>
      </c>
      <c r="J211" s="205"/>
    </row>
    <row r="212" spans="1:11" x14ac:dyDescent="0.2">
      <c r="A212" s="191"/>
      <c r="B212" s="191"/>
      <c r="C212" s="192"/>
      <c r="D212" s="204" t="s">
        <v>257</v>
      </c>
      <c r="E212" s="170" t="s">
        <v>8</v>
      </c>
      <c r="F212" s="173">
        <f>F186+F188+F185</f>
        <v>182.87</v>
      </c>
      <c r="G212" s="173">
        <v>2.2999999999999998</v>
      </c>
      <c r="H212" s="173">
        <v>2</v>
      </c>
      <c r="I212" s="173">
        <f>0.25*0.6*(17+26+26)</f>
        <v>10.35</v>
      </c>
      <c r="J212" s="205">
        <f>ROUND(((PRODUCT(F212:H212))-I212)*1.1,2)</f>
        <v>913.94</v>
      </c>
    </row>
    <row r="213" spans="1:11" x14ac:dyDescent="0.2">
      <c r="A213" s="191"/>
      <c r="B213" s="191"/>
      <c r="C213" s="192"/>
      <c r="D213" s="204" t="s">
        <v>359</v>
      </c>
      <c r="E213" s="170"/>
      <c r="F213" s="173">
        <v>3.5</v>
      </c>
      <c r="G213" s="173">
        <v>0.9</v>
      </c>
      <c r="H213" s="205">
        <v>2</v>
      </c>
      <c r="I213" s="207"/>
      <c r="J213" s="205">
        <f>ROUND(PRODUCT(F213:I213),2)</f>
        <v>6.3</v>
      </c>
      <c r="K213" s="181">
        <f>(3-2.1)/2</f>
        <v>0.44999999999999996</v>
      </c>
    </row>
    <row r="214" spans="1:11" x14ac:dyDescent="0.2">
      <c r="A214" s="191"/>
      <c r="B214" s="191"/>
      <c r="C214" s="192"/>
      <c r="D214" s="204" t="s">
        <v>355</v>
      </c>
      <c r="E214" s="170"/>
      <c r="F214" s="173">
        <f>0.15*4</f>
        <v>0.6</v>
      </c>
      <c r="G214" s="173">
        <v>2.6</v>
      </c>
      <c r="H214" s="173"/>
      <c r="I214" s="173"/>
      <c r="J214" s="205">
        <f t="shared" ref="J214" si="26">ROUND(PRODUCT(F214:I214),2)</f>
        <v>1.56</v>
      </c>
      <c r="K214" s="181"/>
    </row>
    <row r="215" spans="1:11" x14ac:dyDescent="0.2">
      <c r="A215" s="191"/>
      <c r="B215" s="191"/>
      <c r="C215" s="192"/>
      <c r="D215" s="206"/>
      <c r="E215" s="170"/>
      <c r="F215" s="205"/>
      <c r="G215" s="205"/>
      <c r="H215" s="205"/>
      <c r="I215" s="203" t="str">
        <f>"Total item "&amp;A210</f>
        <v>Total item 7.2</v>
      </c>
      <c r="J215" s="202">
        <f>SUM(J212:J214)</f>
        <v>921.8</v>
      </c>
    </row>
    <row r="216" spans="1:11" x14ac:dyDescent="0.2">
      <c r="A216" s="191"/>
      <c r="B216" s="191"/>
      <c r="C216" s="192"/>
      <c r="D216" s="193"/>
      <c r="E216" s="191"/>
      <c r="F216" s="194"/>
      <c r="G216" s="194"/>
      <c r="H216" s="194"/>
      <c r="I216" s="195"/>
      <c r="J216" s="194"/>
    </row>
    <row r="217" spans="1:11" ht="40.799999999999997" x14ac:dyDescent="0.2">
      <c r="A217" s="199" t="str">
        <f>'ORÇAMENTO SEM DESON'!A40</f>
        <v>7.3</v>
      </c>
      <c r="B217" s="199"/>
      <c r="C217" s="200"/>
      <c r="D217" s="201" t="str">
        <f>'ORÇAMENTO SEM DESON'!D40</f>
        <v>EMBOÇO OU MASSA ÚNICA EM ARGAMASSA TRAÇO 1:2:8, PREPARO MECÂNICO COM BETONEIRA 400 L, APLICADA MANUALMENTE EM PANOS DE FACHADA COM PRESENÇA
 DE VÃOS, ESPESSURA DE 25 MM. AF_08/2022</v>
      </c>
      <c r="E217" s="199" t="str">
        <f>'ORÇAMENTO SEM DESON'!E40</f>
        <v>m²</v>
      </c>
      <c r="F217" s="202"/>
      <c r="G217" s="202"/>
      <c r="H217" s="202"/>
      <c r="I217" s="203"/>
      <c r="J217" s="202"/>
    </row>
    <row r="218" spans="1:11" x14ac:dyDescent="0.2">
      <c r="A218" s="191"/>
      <c r="B218" s="191"/>
      <c r="C218" s="192"/>
      <c r="D218" s="204"/>
      <c r="E218" s="170"/>
      <c r="F218" s="173" t="s">
        <v>119</v>
      </c>
      <c r="G218" s="205" t="s">
        <v>121</v>
      </c>
      <c r="H218" s="205" t="s">
        <v>130</v>
      </c>
      <c r="I218" s="173"/>
      <c r="J218" s="205"/>
    </row>
    <row r="219" spans="1:11" x14ac:dyDescent="0.2">
      <c r="A219" s="191"/>
      <c r="B219" s="191"/>
      <c r="C219" s="192"/>
      <c r="D219" s="204" t="s">
        <v>346</v>
      </c>
      <c r="E219" s="170"/>
      <c r="F219" s="173">
        <f>F187</f>
        <v>43.68</v>
      </c>
      <c r="G219" s="223">
        <v>0.6</v>
      </c>
      <c r="H219" s="223">
        <v>2</v>
      </c>
      <c r="I219" s="207"/>
      <c r="J219" s="205">
        <f t="shared" ref="J219:J221" si="27">ROUND(PRODUCT(F219:I219),2)</f>
        <v>52.42</v>
      </c>
    </row>
    <row r="220" spans="1:11" x14ac:dyDescent="0.2">
      <c r="A220" s="191"/>
      <c r="B220" s="191"/>
      <c r="C220" s="192"/>
      <c r="D220" s="204" t="s">
        <v>359</v>
      </c>
      <c r="E220" s="170"/>
      <c r="F220" s="173">
        <v>3.5</v>
      </c>
      <c r="G220" s="173">
        <v>0.9</v>
      </c>
      <c r="H220" s="205">
        <v>2</v>
      </c>
      <c r="I220" s="207"/>
      <c r="J220" s="205">
        <f t="shared" si="27"/>
        <v>6.3</v>
      </c>
      <c r="K220" s="181">
        <f>(3-2.1)/2</f>
        <v>0.44999999999999996</v>
      </c>
    </row>
    <row r="221" spans="1:11" x14ac:dyDescent="0.2">
      <c r="A221" s="191"/>
      <c r="B221" s="191"/>
      <c r="C221" s="192"/>
      <c r="D221" s="204" t="s">
        <v>355</v>
      </c>
      <c r="E221" s="170"/>
      <c r="F221" s="173">
        <f>0.15*4</f>
        <v>0.6</v>
      </c>
      <c r="G221" s="173">
        <v>1.6</v>
      </c>
      <c r="H221" s="173"/>
      <c r="I221" s="173"/>
      <c r="J221" s="205">
        <f t="shared" si="27"/>
        <v>0.96</v>
      </c>
      <c r="K221" s="181"/>
    </row>
    <row r="222" spans="1:11" x14ac:dyDescent="0.2">
      <c r="A222" s="191"/>
      <c r="B222" s="191"/>
      <c r="C222" s="192"/>
      <c r="D222" s="206"/>
      <c r="E222" s="170"/>
      <c r="F222" s="205"/>
      <c r="G222" s="205"/>
      <c r="H222" s="205"/>
      <c r="I222" s="203" t="str">
        <f>"Total item "&amp;A217</f>
        <v>Total item 7.3</v>
      </c>
      <c r="J222" s="202">
        <f>SUM(J219:J221)</f>
        <v>59.68</v>
      </c>
    </row>
    <row r="223" spans="1:11" x14ac:dyDescent="0.2">
      <c r="A223" s="191"/>
      <c r="B223" s="191"/>
      <c r="C223" s="192"/>
      <c r="D223" s="193"/>
      <c r="E223" s="191"/>
      <c r="F223" s="194"/>
      <c r="G223" s="194"/>
      <c r="H223" s="194"/>
      <c r="I223" s="195"/>
      <c r="J223" s="194"/>
    </row>
    <row r="224" spans="1:11" s="49" customFormat="1" ht="20.399999999999999" x14ac:dyDescent="0.2">
      <c r="A224" s="199" t="str">
        <f>'ORÇAMENTO SEM DESON'!A41</f>
        <v>7.4</v>
      </c>
      <c r="B224" s="199"/>
      <c r="C224" s="200"/>
      <c r="D224" s="201" t="str">
        <f>'ORÇAMENTO SEM DESON'!D41</f>
        <v>REVESTIMENTO CERÂMICO COM PLACAS TIPO ESMALTADA EXTRA DE DIMENSÕES 10X10</v>
      </c>
      <c r="E224" s="199" t="str">
        <f>'ORÇAMENTO SEM DESON'!E41</f>
        <v>m²</v>
      </c>
      <c r="F224" s="202"/>
      <c r="G224" s="202"/>
      <c r="H224" s="202"/>
      <c r="I224" s="203"/>
      <c r="J224" s="202"/>
      <c r="K224" s="188"/>
    </row>
    <row r="225" spans="1:11" x14ac:dyDescent="0.2">
      <c r="A225" s="191"/>
      <c r="B225" s="191"/>
      <c r="C225" s="192"/>
      <c r="D225" s="204"/>
      <c r="E225" s="170"/>
      <c r="F225" s="173" t="s">
        <v>28</v>
      </c>
      <c r="G225" s="173" t="s">
        <v>144</v>
      </c>
      <c r="H225" s="205" t="s">
        <v>130</v>
      </c>
      <c r="I225" s="173"/>
      <c r="J225" s="205"/>
      <c r="K225" s="181"/>
    </row>
    <row r="226" spans="1:11" x14ac:dyDescent="0.2">
      <c r="A226" s="191"/>
      <c r="B226" s="191"/>
      <c r="C226" s="192"/>
      <c r="D226" s="204" t="s">
        <v>346</v>
      </c>
      <c r="E226" s="170"/>
      <c r="F226" s="173">
        <f>F219</f>
        <v>43.68</v>
      </c>
      <c r="G226" s="223">
        <v>0.6</v>
      </c>
      <c r="H226" s="223">
        <v>2</v>
      </c>
      <c r="I226" s="207"/>
      <c r="J226" s="205">
        <f t="shared" ref="J226:J228" si="28">ROUND(PRODUCT(F226:I226),2)</f>
        <v>52.42</v>
      </c>
      <c r="K226" s="181"/>
    </row>
    <row r="227" spans="1:11" x14ac:dyDescent="0.2">
      <c r="A227" s="191"/>
      <c r="B227" s="191"/>
      <c r="C227" s="192"/>
      <c r="D227" s="204" t="s">
        <v>360</v>
      </c>
      <c r="E227" s="170"/>
      <c r="F227" s="173">
        <v>3.5</v>
      </c>
      <c r="G227" s="173">
        <v>0.9</v>
      </c>
      <c r="H227" s="205"/>
      <c r="I227" s="207"/>
      <c r="J227" s="205">
        <f t="shared" si="28"/>
        <v>3.15</v>
      </c>
      <c r="K227" s="181">
        <f>(3-2.1)/2</f>
        <v>0.44999999999999996</v>
      </c>
    </row>
    <row r="228" spans="1:11" x14ac:dyDescent="0.2">
      <c r="A228" s="191"/>
      <c r="B228" s="191"/>
      <c r="C228" s="192"/>
      <c r="D228" s="204" t="s">
        <v>355</v>
      </c>
      <c r="E228" s="170"/>
      <c r="F228" s="173">
        <f>0.15*4</f>
        <v>0.6</v>
      </c>
      <c r="G228" s="173">
        <v>0.1</v>
      </c>
      <c r="H228" s="173"/>
      <c r="I228" s="173"/>
      <c r="J228" s="205">
        <f t="shared" si="28"/>
        <v>0.06</v>
      </c>
      <c r="K228" s="181"/>
    </row>
    <row r="229" spans="1:11" x14ac:dyDescent="0.2">
      <c r="A229" s="191"/>
      <c r="B229" s="191"/>
      <c r="C229" s="192"/>
      <c r="D229" s="206"/>
      <c r="E229" s="170"/>
      <c r="F229" s="205"/>
      <c r="G229" s="205"/>
      <c r="H229" s="205"/>
      <c r="I229" s="203" t="str">
        <f>"Total item "&amp;A224</f>
        <v>Total item 7.4</v>
      </c>
      <c r="J229" s="202">
        <f>SUM(J226:J228)</f>
        <v>55.63</v>
      </c>
      <c r="K229" s="181"/>
    </row>
    <row r="230" spans="1:11" s="48" customFormat="1" x14ac:dyDescent="0.2">
      <c r="A230" s="191"/>
      <c r="B230" s="191"/>
      <c r="C230" s="192"/>
      <c r="D230" s="193"/>
      <c r="E230" s="191"/>
      <c r="F230" s="194"/>
      <c r="G230" s="194"/>
      <c r="H230" s="194"/>
      <c r="I230" s="195"/>
      <c r="J230" s="194"/>
      <c r="K230" s="186"/>
    </row>
    <row r="231" spans="1:11" s="49" customFormat="1" ht="30.6" x14ac:dyDescent="0.2">
      <c r="A231" s="199" t="str">
        <f>'ORÇAMENTO SEM DESON'!A42</f>
        <v>7.5</v>
      </c>
      <c r="B231" s="199"/>
      <c r="C231" s="200"/>
      <c r="D231" s="201" t="str">
        <f>'ORÇAMENTO SEM DESON'!D42</f>
        <v>REVESTIMENTO CERÂMICO PARA PAREDES INTERNAS COM PLACAS TIPO ESMALTADA EXTRA DE DIMENSÕES 33X45 CM APLICADAS A MEIA ALTURA DAS PAREDES. AF_02/2023_PE</v>
      </c>
      <c r="E231" s="199" t="str">
        <f>'ORÇAMENTO SEM DESON'!E42</f>
        <v>m²</v>
      </c>
      <c r="F231" s="202"/>
      <c r="G231" s="202"/>
      <c r="H231" s="202"/>
      <c r="I231" s="203"/>
      <c r="J231" s="202"/>
      <c r="K231" s="188"/>
    </row>
    <row r="232" spans="1:11" x14ac:dyDescent="0.2">
      <c r="A232" s="191"/>
      <c r="B232" s="191"/>
      <c r="C232" s="192"/>
      <c r="D232" s="204"/>
      <c r="E232" s="170"/>
      <c r="F232" s="173" t="s">
        <v>28</v>
      </c>
      <c r="G232" s="173" t="s">
        <v>144</v>
      </c>
      <c r="H232" s="205" t="s">
        <v>130</v>
      </c>
      <c r="I232" s="173"/>
      <c r="J232" s="205"/>
      <c r="K232" s="181"/>
    </row>
    <row r="233" spans="1:11" x14ac:dyDescent="0.2">
      <c r="A233" s="191"/>
      <c r="B233" s="191"/>
      <c r="C233" s="192"/>
      <c r="D233" s="204" t="s">
        <v>355</v>
      </c>
      <c r="E233" s="170"/>
      <c r="F233" s="173">
        <f>0.15*4</f>
        <v>0.6</v>
      </c>
      <c r="G233" s="173">
        <v>1.5</v>
      </c>
      <c r="H233" s="173"/>
      <c r="I233" s="173"/>
      <c r="J233" s="205">
        <f t="shared" ref="J233" si="29">ROUND(PRODUCT(F233:I233),2)</f>
        <v>0.9</v>
      </c>
      <c r="K233" s="181"/>
    </row>
    <row r="234" spans="1:11" x14ac:dyDescent="0.2">
      <c r="A234" s="191"/>
      <c r="B234" s="191"/>
      <c r="C234" s="192"/>
      <c r="D234" s="206"/>
      <c r="E234" s="170"/>
      <c r="F234" s="205"/>
      <c r="G234" s="205"/>
      <c r="H234" s="205"/>
      <c r="I234" s="203" t="str">
        <f>"Total item "&amp;A231</f>
        <v>Total item 7.5</v>
      </c>
      <c r="J234" s="202">
        <f>SUM(J233:J233)</f>
        <v>0.9</v>
      </c>
      <c r="K234" s="181"/>
    </row>
    <row r="235" spans="1:11" s="48" customFormat="1" x14ac:dyDescent="0.2">
      <c r="A235" s="191"/>
      <c r="B235" s="191"/>
      <c r="C235" s="192"/>
      <c r="D235" s="193"/>
      <c r="E235" s="191"/>
      <c r="F235" s="194"/>
      <c r="G235" s="194"/>
      <c r="H235" s="194"/>
      <c r="I235" s="195"/>
      <c r="J235" s="194"/>
      <c r="K235" s="186"/>
    </row>
    <row r="236" spans="1:11" x14ac:dyDescent="0.2">
      <c r="A236" s="163" t="str">
        <f>'ORÇAMENTO SEM DESON'!A43</f>
        <v>8.0</v>
      </c>
      <c r="B236" s="164"/>
      <c r="C236" s="165"/>
      <c r="D236" s="196" t="str">
        <f>'ORÇAMENTO SEM DESON'!D43</f>
        <v>PINTURA</v>
      </c>
      <c r="E236" s="164"/>
      <c r="F236" s="197"/>
      <c r="G236" s="197"/>
      <c r="H236" s="197"/>
      <c r="I236" s="198"/>
      <c r="J236" s="197"/>
    </row>
    <row r="237" spans="1:11" ht="20.399999999999999" x14ac:dyDescent="0.2">
      <c r="A237" s="199" t="str">
        <f>'ORÇAMENTO SEM DESON'!A44</f>
        <v>8.1</v>
      </c>
      <c r="B237" s="199"/>
      <c r="C237" s="200"/>
      <c r="D237" s="201" t="str">
        <f>'ORÇAMENTO SEM DESON'!D44</f>
        <v>APLICAÇÃO MANUAL DE MASSA ACRÍLICA EM PAREDES EXTERNAS DE CASAS, DUAS DEMÃOS. AF_05/2017</v>
      </c>
      <c r="E237" s="199" t="str">
        <f>'ORÇAMENTO SEM DESON'!E44</f>
        <v>m²</v>
      </c>
      <c r="F237" s="202"/>
      <c r="G237" s="202"/>
      <c r="H237" s="202"/>
      <c r="I237" s="203"/>
      <c r="J237" s="202"/>
    </row>
    <row r="238" spans="1:11" x14ac:dyDescent="0.2">
      <c r="A238" s="191"/>
      <c r="B238" s="191"/>
      <c r="C238" s="192"/>
      <c r="D238" s="204"/>
      <c r="E238" s="170"/>
      <c r="F238" s="173" t="s">
        <v>119</v>
      </c>
      <c r="G238" s="173" t="s">
        <v>121</v>
      </c>
      <c r="H238" s="205" t="s">
        <v>130</v>
      </c>
      <c r="I238" s="173"/>
      <c r="J238" s="205"/>
    </row>
    <row r="239" spans="1:11" x14ac:dyDescent="0.2">
      <c r="A239" s="191"/>
      <c r="B239" s="191"/>
      <c r="C239" s="192"/>
      <c r="D239" s="204" t="s">
        <v>181</v>
      </c>
      <c r="E239" s="170" t="s">
        <v>8</v>
      </c>
      <c r="F239" s="173">
        <f>F212</f>
        <v>182.87</v>
      </c>
      <c r="G239" s="173">
        <f>G212</f>
        <v>2.2999999999999998</v>
      </c>
      <c r="H239" s="173">
        <f>H212</f>
        <v>2</v>
      </c>
      <c r="I239" s="173"/>
      <c r="J239" s="205">
        <f t="shared" ref="J239:J241" si="30">ROUND(PRODUCT(F239:I239),2)</f>
        <v>841.2</v>
      </c>
    </row>
    <row r="240" spans="1:11" ht="20.399999999999999" x14ac:dyDescent="0.2">
      <c r="A240" s="191"/>
      <c r="B240" s="191"/>
      <c r="C240" s="192"/>
      <c r="D240" s="204" t="s">
        <v>361</v>
      </c>
      <c r="E240" s="170"/>
      <c r="F240" s="173">
        <v>3.5</v>
      </c>
      <c r="G240" s="173">
        <v>0.9</v>
      </c>
      <c r="H240" s="205"/>
      <c r="I240" s="207"/>
      <c r="J240" s="205">
        <f t="shared" si="30"/>
        <v>3.15</v>
      </c>
      <c r="K240" s="181">
        <f>(3-2.1)/2</f>
        <v>0.44999999999999996</v>
      </c>
    </row>
    <row r="241" spans="1:11" x14ac:dyDescent="0.2">
      <c r="A241" s="191"/>
      <c r="B241" s="191"/>
      <c r="C241" s="192"/>
      <c r="D241" s="204" t="s">
        <v>355</v>
      </c>
      <c r="E241" s="170"/>
      <c r="F241" s="173">
        <f>0.15*4</f>
        <v>0.6</v>
      </c>
      <c r="G241" s="173">
        <f>2.6-1.6</f>
        <v>1</v>
      </c>
      <c r="H241" s="173"/>
      <c r="I241" s="173"/>
      <c r="J241" s="205">
        <f t="shared" si="30"/>
        <v>0.6</v>
      </c>
      <c r="K241" s="181"/>
    </row>
    <row r="242" spans="1:11" x14ac:dyDescent="0.2">
      <c r="A242" s="191"/>
      <c r="B242" s="191"/>
      <c r="C242" s="192"/>
      <c r="D242" s="206"/>
      <c r="E242" s="170"/>
      <c r="F242" s="205"/>
      <c r="G242" s="205"/>
      <c r="H242" s="205"/>
      <c r="I242" s="203" t="str">
        <f>"Total item "&amp;A237</f>
        <v>Total item 8.1</v>
      </c>
      <c r="J242" s="202">
        <f>SUM(J239:J241)</f>
        <v>844.95</v>
      </c>
    </row>
    <row r="243" spans="1:11" x14ac:dyDescent="0.2">
      <c r="A243" s="191"/>
      <c r="B243" s="191"/>
      <c r="C243" s="192"/>
      <c r="D243" s="193"/>
      <c r="E243" s="191"/>
      <c r="F243" s="194"/>
      <c r="G243" s="194"/>
      <c r="H243" s="194"/>
      <c r="I243" s="195"/>
      <c r="J243" s="194"/>
    </row>
    <row r="244" spans="1:11" x14ac:dyDescent="0.2">
      <c r="A244" s="199" t="str">
        <f>'ORÇAMENTO SEM DESON'!A45</f>
        <v>8.2</v>
      </c>
      <c r="B244" s="199"/>
      <c r="C244" s="200"/>
      <c r="D244" s="201" t="str">
        <f>'ORÇAMENTO SEM DESON'!D45</f>
        <v>PINTURA ESMALTE SINTÉTICO EM PAREDES</v>
      </c>
      <c r="E244" s="199" t="str">
        <f>'ORÇAMENTO SEM DESON'!E45</f>
        <v>m²</v>
      </c>
      <c r="F244" s="202"/>
      <c r="G244" s="202"/>
      <c r="H244" s="202"/>
      <c r="I244" s="203"/>
      <c r="J244" s="202"/>
    </row>
    <row r="245" spans="1:11" x14ac:dyDescent="0.2">
      <c r="A245" s="191"/>
      <c r="B245" s="191"/>
      <c r="C245" s="192"/>
      <c r="D245" s="204"/>
      <c r="E245" s="170"/>
      <c r="F245" s="173" t="s">
        <v>119</v>
      </c>
      <c r="G245" s="173" t="s">
        <v>121</v>
      </c>
      <c r="H245" s="205" t="s">
        <v>130</v>
      </c>
      <c r="I245" s="173"/>
      <c r="J245" s="205"/>
    </row>
    <row r="246" spans="1:11" x14ac:dyDescent="0.2">
      <c r="A246" s="191"/>
      <c r="B246" s="191"/>
      <c r="C246" s="192"/>
      <c r="D246" s="204" t="s">
        <v>181</v>
      </c>
      <c r="E246" s="170" t="s">
        <v>8</v>
      </c>
      <c r="F246" s="173">
        <f>F212</f>
        <v>182.87</v>
      </c>
      <c r="G246" s="173">
        <f>G212</f>
        <v>2.2999999999999998</v>
      </c>
      <c r="H246" s="173">
        <f>H212</f>
        <v>2</v>
      </c>
      <c r="I246" s="173"/>
      <c r="J246" s="205">
        <f t="shared" ref="J246:J248" si="31">ROUND(PRODUCT(F246:I246),2)</f>
        <v>841.2</v>
      </c>
    </row>
    <row r="247" spans="1:11" ht="20.399999999999999" x14ac:dyDescent="0.2">
      <c r="A247" s="191"/>
      <c r="B247" s="191"/>
      <c r="C247" s="192"/>
      <c r="D247" s="204" t="s">
        <v>361</v>
      </c>
      <c r="E247" s="170"/>
      <c r="F247" s="173">
        <v>3.5</v>
      </c>
      <c r="G247" s="173">
        <v>0.9</v>
      </c>
      <c r="H247" s="205"/>
      <c r="I247" s="207"/>
      <c r="J247" s="205">
        <f t="shared" si="31"/>
        <v>3.15</v>
      </c>
      <c r="K247" s="181">
        <f>(3-2.1)/2</f>
        <v>0.44999999999999996</v>
      </c>
    </row>
    <row r="248" spans="1:11" x14ac:dyDescent="0.2">
      <c r="A248" s="191"/>
      <c r="B248" s="191"/>
      <c r="C248" s="192"/>
      <c r="D248" s="204" t="s">
        <v>355</v>
      </c>
      <c r="E248" s="170"/>
      <c r="F248" s="173">
        <f>0.15*4</f>
        <v>0.6</v>
      </c>
      <c r="G248" s="173">
        <f>2.6-1.6</f>
        <v>1</v>
      </c>
      <c r="H248" s="173"/>
      <c r="I248" s="173"/>
      <c r="J248" s="205">
        <f t="shared" si="31"/>
        <v>0.6</v>
      </c>
      <c r="K248" s="181"/>
    </row>
    <row r="249" spans="1:11" x14ac:dyDescent="0.2">
      <c r="A249" s="191"/>
      <c r="B249" s="191"/>
      <c r="C249" s="192"/>
      <c r="D249" s="206"/>
      <c r="E249" s="170"/>
      <c r="F249" s="205"/>
      <c r="G249" s="205"/>
      <c r="H249" s="205"/>
      <c r="I249" s="203" t="str">
        <f>"Total item "&amp;A244</f>
        <v>Total item 8.2</v>
      </c>
      <c r="J249" s="202">
        <f>SUM(J246:J248)</f>
        <v>844.95</v>
      </c>
    </row>
    <row r="250" spans="1:11" ht="40.799999999999997" x14ac:dyDescent="0.2">
      <c r="A250" s="199" t="str">
        <f>'ORÇAMENTO SEM DESON'!A46</f>
        <v>8.3</v>
      </c>
      <c r="B250" s="199"/>
      <c r="C250" s="200"/>
      <c r="D250" s="201" t="str">
        <f>'ORÇAMENTO SEM DESON'!D46</f>
        <v>PINTURA COM TINTA ALQUÍDICA DE ACABAMENTO (ESMALTE SINTÉTICO ACETINADO) APLICADA A ROLO OU PINCEL SOBRE PERFIL METÁLICO EXECUTADO EM FÁBRICA  (POR DEMÃO). AF_01/2020</v>
      </c>
      <c r="E250" s="199" t="str">
        <f>'ORÇAMENTO SEM DESON'!E46</f>
        <v>m²</v>
      </c>
      <c r="F250" s="202"/>
      <c r="G250" s="202"/>
      <c r="H250" s="202"/>
      <c r="I250" s="203"/>
      <c r="J250" s="202"/>
    </row>
    <row r="251" spans="1:11" x14ac:dyDescent="0.2">
      <c r="A251" s="191"/>
      <c r="B251" s="191"/>
      <c r="C251" s="192"/>
      <c r="D251" s="204"/>
      <c r="E251" s="170"/>
      <c r="F251" s="173" t="s">
        <v>28</v>
      </c>
      <c r="G251" s="173" t="s">
        <v>29</v>
      </c>
      <c r="H251" s="173" t="s">
        <v>2</v>
      </c>
      <c r="I251" s="173" t="s">
        <v>144</v>
      </c>
      <c r="J251" s="205"/>
    </row>
    <row r="252" spans="1:11" x14ac:dyDescent="0.2">
      <c r="A252" s="191"/>
      <c r="B252" s="191"/>
      <c r="C252" s="192"/>
      <c r="D252" s="204" t="s">
        <v>259</v>
      </c>
      <c r="E252" s="170"/>
      <c r="F252" s="173">
        <v>3</v>
      </c>
      <c r="G252" s="173"/>
      <c r="H252" s="173"/>
      <c r="I252" s="208">
        <v>2</v>
      </c>
      <c r="J252" s="205">
        <f t="shared" ref="J252:J254" si="32">ROUND(PRODUCT(F252:I252),2)</f>
        <v>6</v>
      </c>
    </row>
    <row r="253" spans="1:11" x14ac:dyDescent="0.2">
      <c r="A253" s="191"/>
      <c r="B253" s="191"/>
      <c r="C253" s="192"/>
      <c r="D253" s="204" t="s">
        <v>260</v>
      </c>
      <c r="E253" s="170"/>
      <c r="F253" s="173">
        <v>1.5</v>
      </c>
      <c r="G253" s="173"/>
      <c r="H253" s="173"/>
      <c r="I253" s="208">
        <v>2</v>
      </c>
      <c r="J253" s="205">
        <f t="shared" si="32"/>
        <v>3</v>
      </c>
    </row>
    <row r="254" spans="1:11" x14ac:dyDescent="0.2">
      <c r="A254" s="191"/>
      <c r="B254" s="191"/>
      <c r="C254" s="192"/>
      <c r="D254" s="204" t="s">
        <v>227</v>
      </c>
      <c r="E254" s="170"/>
      <c r="F254" s="173">
        <f>F187</f>
        <v>43.68</v>
      </c>
      <c r="G254" s="173"/>
      <c r="H254" s="173"/>
      <c r="I254" s="208">
        <f>G266</f>
        <v>1.4</v>
      </c>
      <c r="J254" s="205">
        <f t="shared" si="32"/>
        <v>61.15</v>
      </c>
    </row>
    <row r="255" spans="1:11" x14ac:dyDescent="0.2">
      <c r="A255" s="191"/>
      <c r="B255" s="191"/>
      <c r="C255" s="192"/>
      <c r="D255" s="206"/>
      <c r="E255" s="170"/>
      <c r="F255" s="205"/>
      <c r="G255" s="205"/>
      <c r="H255" s="205"/>
      <c r="I255" s="203" t="str">
        <f>"Total item "&amp;A250</f>
        <v>Total item 8.3</v>
      </c>
      <c r="J255" s="202">
        <f>SUM(J252:J254)</f>
        <v>70.150000000000006</v>
      </c>
    </row>
    <row r="256" spans="1:11" x14ac:dyDescent="0.2">
      <c r="A256" s="191"/>
      <c r="B256" s="191"/>
      <c r="C256" s="192"/>
      <c r="D256" s="193"/>
      <c r="E256" s="191"/>
      <c r="F256" s="194"/>
      <c r="G256" s="194"/>
      <c r="H256" s="194"/>
      <c r="I256" s="195"/>
      <c r="J256" s="194"/>
    </row>
    <row r="257" spans="1:11" x14ac:dyDescent="0.2">
      <c r="A257" s="199" t="str">
        <f>'ORÇAMENTO SEM DESON'!A47</f>
        <v>8.4</v>
      </c>
      <c r="B257" s="199"/>
      <c r="C257" s="200"/>
      <c r="D257" s="201" t="str">
        <f>'ORÇAMENTO SEM DESON'!D47</f>
        <v>VERNIZ MARÍTIMO 3 DEMÃOS EM ESQUADRIAS DE MADEIRA</v>
      </c>
      <c r="E257" s="199" t="str">
        <f>'ORÇAMENTO SEM DESON'!E47</f>
        <v>m²</v>
      </c>
      <c r="F257" s="202"/>
      <c r="G257" s="202"/>
      <c r="H257" s="202"/>
      <c r="I257" s="203"/>
      <c r="J257" s="202"/>
    </row>
    <row r="258" spans="1:11" x14ac:dyDescent="0.2">
      <c r="A258" s="191"/>
      <c r="B258" s="191"/>
      <c r="C258" s="192"/>
      <c r="D258" s="204"/>
      <c r="E258" s="170"/>
      <c r="F258" s="173"/>
      <c r="G258" s="173"/>
      <c r="H258" s="173"/>
      <c r="I258" s="173"/>
      <c r="J258" s="205"/>
    </row>
    <row r="259" spans="1:11" x14ac:dyDescent="0.2">
      <c r="A259" s="191"/>
      <c r="B259" s="191"/>
      <c r="C259" s="192"/>
      <c r="D259" s="204" t="s">
        <v>344</v>
      </c>
      <c r="E259" s="170"/>
      <c r="F259" s="173">
        <f>J280</f>
        <v>81.63</v>
      </c>
      <c r="G259" s="173"/>
      <c r="H259" s="173"/>
      <c r="I259" s="208"/>
      <c r="J259" s="205">
        <f t="shared" ref="J259" si="33">ROUND(PRODUCT(F259:I259),2)</f>
        <v>81.63</v>
      </c>
    </row>
    <row r="260" spans="1:11" x14ac:dyDescent="0.2">
      <c r="A260" s="191"/>
      <c r="B260" s="191"/>
      <c r="C260" s="192"/>
      <c r="D260" s="206"/>
      <c r="E260" s="170"/>
      <c r="F260" s="205"/>
      <c r="G260" s="205"/>
      <c r="H260" s="205"/>
      <c r="I260" s="203" t="str">
        <f>"Total item "&amp;A257</f>
        <v>Total item 8.4</v>
      </c>
      <c r="J260" s="202">
        <f>SUM(J259:J259)</f>
        <v>81.63</v>
      </c>
    </row>
    <row r="261" spans="1:11" x14ac:dyDescent="0.2">
      <c r="A261" s="191"/>
      <c r="B261" s="191"/>
      <c r="C261" s="192"/>
      <c r="D261" s="193"/>
      <c r="E261" s="191"/>
      <c r="F261" s="194"/>
      <c r="G261" s="194"/>
      <c r="H261" s="194"/>
      <c r="I261" s="195"/>
      <c r="J261" s="194"/>
    </row>
    <row r="262" spans="1:11" x14ac:dyDescent="0.2">
      <c r="A262" s="163" t="str">
        <f>'ORÇAMENTO SEM DESON'!A48</f>
        <v>9.0</v>
      </c>
      <c r="B262" s="164"/>
      <c r="C262" s="213"/>
      <c r="D262" s="196" t="str">
        <f>'ORÇAMENTO SEM DESON'!D48</f>
        <v>ESQUADRIAS</v>
      </c>
      <c r="E262" s="164"/>
      <c r="F262" s="197"/>
      <c r="G262" s="197"/>
      <c r="H262" s="197"/>
      <c r="I262" s="198"/>
      <c r="J262" s="197"/>
      <c r="K262" s="181"/>
    </row>
    <row r="263" spans="1:11" x14ac:dyDescent="0.2">
      <c r="A263" s="191"/>
      <c r="B263" s="191"/>
      <c r="C263" s="214"/>
      <c r="D263" s="204"/>
      <c r="E263" s="170"/>
      <c r="F263" s="205"/>
      <c r="G263" s="205"/>
      <c r="H263" s="205"/>
      <c r="I263" s="195"/>
      <c r="J263" s="194"/>
      <c r="K263" s="181"/>
    </row>
    <row r="264" spans="1:11" ht="40.799999999999997" x14ac:dyDescent="0.2">
      <c r="A264" s="199" t="str">
        <f>'ORÇAMENTO SEM DESON'!A49</f>
        <v>9.1</v>
      </c>
      <c r="B264" s="215"/>
      <c r="C264" s="216"/>
      <c r="D264" s="217" t="str">
        <f>'ORÇAMENTO SEM DESON'!D49</f>
        <v xml:space="preserve">	Grade de ferro composta de barras verticais quadradas 1/2" cada 12,5cm, soldadas em quatro barras chata horizontais 1 1/2" x 3/16" (2 + 2) montantes em perfil UDC simples 75 x 38 x 2,65mm - Fornecimento e instalação</v>
      </c>
      <c r="E264" s="199" t="str">
        <f>'ORÇAMENTO SEM DESON'!E49</f>
        <v>m²</v>
      </c>
      <c r="F264" s="202"/>
      <c r="G264" s="202"/>
      <c r="H264" s="202"/>
      <c r="I264" s="203"/>
      <c r="J264" s="202"/>
      <c r="K264" s="181"/>
    </row>
    <row r="265" spans="1:11" x14ac:dyDescent="0.2">
      <c r="A265" s="191"/>
      <c r="B265" s="191"/>
      <c r="C265" s="214"/>
      <c r="D265" s="204"/>
      <c r="E265" s="170"/>
      <c r="F265" s="173" t="s">
        <v>119</v>
      </c>
      <c r="G265" s="173" t="s">
        <v>121</v>
      </c>
      <c r="H265" s="173"/>
      <c r="I265" s="208"/>
      <c r="J265" s="205"/>
      <c r="K265" s="181"/>
    </row>
    <row r="266" spans="1:11" x14ac:dyDescent="0.2">
      <c r="A266" s="191"/>
      <c r="B266" s="191"/>
      <c r="C266" s="192"/>
      <c r="D266" s="204" t="s">
        <v>227</v>
      </c>
      <c r="E266" s="170"/>
      <c r="F266" s="173">
        <f>F254</f>
        <v>43.68</v>
      </c>
      <c r="G266" s="205">
        <v>1.4</v>
      </c>
      <c r="H266" s="152"/>
      <c r="I266" s="207"/>
      <c r="J266" s="205">
        <f t="shared" ref="J266" si="34">ROUND(PRODUCT(F266:I266),2)</f>
        <v>61.15</v>
      </c>
    </row>
    <row r="267" spans="1:11" x14ac:dyDescent="0.2">
      <c r="A267" s="191"/>
      <c r="B267" s="191"/>
      <c r="C267" s="214"/>
      <c r="D267" s="204"/>
      <c r="E267" s="170"/>
      <c r="F267" s="205"/>
      <c r="G267" s="205"/>
      <c r="H267" s="205"/>
      <c r="I267" s="203" t="str">
        <f>"Total item "&amp;A264</f>
        <v>Total item 9.1</v>
      </c>
      <c r="J267" s="202">
        <f>SUM(J266:J266)</f>
        <v>61.15</v>
      </c>
      <c r="K267" s="181"/>
    </row>
    <row r="268" spans="1:11" x14ac:dyDescent="0.2">
      <c r="A268" s="191"/>
      <c r="B268" s="191"/>
      <c r="C268" s="214"/>
      <c r="D268" s="204"/>
      <c r="E268" s="170"/>
      <c r="F268" s="205"/>
      <c r="G268" s="205"/>
      <c r="H268" s="205"/>
      <c r="I268" s="195"/>
      <c r="J268" s="194"/>
      <c r="K268" s="181"/>
    </row>
    <row r="269" spans="1:11" ht="30.6" x14ac:dyDescent="0.2">
      <c r="A269" s="199" t="str">
        <f>'ORÇAMENTO SEM DESON'!A50</f>
        <v>9.2</v>
      </c>
      <c r="B269" s="215"/>
      <c r="C269" s="216"/>
      <c r="D269" s="217" t="str">
        <f>'ORÇAMENTO SEM DESON'!D50</f>
        <v>PORTAO DE CORRER EM GRADIL FIXO DE BARRA DE FERRO CHATA DE 3 X 1/4" NA VERTICAL, SEM REQUADRO, ACABAMENTO NATURAL, COM TRILHOS E ROLDANAS</v>
      </c>
      <c r="E269" s="199" t="str">
        <f>'ORÇAMENTO SEM DESON'!E50</f>
        <v>m²</v>
      </c>
      <c r="F269" s="202"/>
      <c r="G269" s="202"/>
      <c r="H269" s="202"/>
      <c r="I269" s="203"/>
      <c r="J269" s="202"/>
      <c r="K269" s="181"/>
    </row>
    <row r="270" spans="1:11" x14ac:dyDescent="0.2">
      <c r="A270" s="191"/>
      <c r="B270" s="191"/>
      <c r="C270" s="214"/>
      <c r="D270" s="204"/>
      <c r="E270" s="170"/>
      <c r="F270" s="173" t="s">
        <v>122</v>
      </c>
      <c r="G270" s="173" t="s">
        <v>121</v>
      </c>
      <c r="H270" s="173"/>
      <c r="I270" s="208"/>
      <c r="J270" s="205"/>
      <c r="K270" s="181"/>
    </row>
    <row r="271" spans="1:11" x14ac:dyDescent="0.2">
      <c r="A271" s="191"/>
      <c r="B271" s="191"/>
      <c r="C271" s="192"/>
      <c r="D271" s="204" t="s">
        <v>259</v>
      </c>
      <c r="E271" s="170"/>
      <c r="F271" s="173">
        <v>3</v>
      </c>
      <c r="G271" s="205">
        <v>2</v>
      </c>
      <c r="H271" s="152"/>
      <c r="I271" s="207"/>
      <c r="J271" s="205">
        <f t="shared" ref="J271:J272" si="35">ROUND(PRODUCT(F271:I271),2)</f>
        <v>6</v>
      </c>
    </row>
    <row r="272" spans="1:11" x14ac:dyDescent="0.2">
      <c r="A272" s="191"/>
      <c r="B272" s="191"/>
      <c r="C272" s="192"/>
      <c r="D272" s="204" t="s">
        <v>260</v>
      </c>
      <c r="E272" s="170"/>
      <c r="F272" s="173">
        <v>1.5</v>
      </c>
      <c r="G272" s="205">
        <v>2</v>
      </c>
      <c r="H272" s="152"/>
      <c r="I272" s="207"/>
      <c r="J272" s="205">
        <f t="shared" si="35"/>
        <v>3</v>
      </c>
      <c r="K272" s="181"/>
    </row>
    <row r="273" spans="1:11" x14ac:dyDescent="0.2">
      <c r="A273" s="191"/>
      <c r="B273" s="191"/>
      <c r="C273" s="214"/>
      <c r="D273" s="204"/>
      <c r="E273" s="170"/>
      <c r="F273" s="205"/>
      <c r="G273" s="205"/>
      <c r="H273" s="205"/>
      <c r="I273" s="203" t="str">
        <f>"Total item "&amp;A269</f>
        <v>Total item 9.2</v>
      </c>
      <c r="J273" s="202">
        <f>SUM(J271:J272)</f>
        <v>9</v>
      </c>
      <c r="K273" s="181"/>
    </row>
    <row r="274" spans="1:11" x14ac:dyDescent="0.2">
      <c r="A274" s="191"/>
      <c r="B274" s="191"/>
      <c r="C274" s="214"/>
      <c r="D274" s="204"/>
      <c r="E274" s="170"/>
      <c r="F274" s="205"/>
      <c r="G274" s="205"/>
      <c r="H274" s="205"/>
      <c r="I274" s="195"/>
      <c r="J274" s="194"/>
      <c r="K274" s="181"/>
    </row>
    <row r="275" spans="1:11" ht="40.799999999999997" x14ac:dyDescent="0.2">
      <c r="A275" s="199" t="str">
        <f>'ORÇAMENTO SEM DESON'!A51</f>
        <v>9.3</v>
      </c>
      <c r="B275" s="215"/>
      <c r="C275" s="216"/>
      <c r="D275" s="217" t="str">
        <f>'ORÇAMENTO SEM DESON'!D51</f>
        <v>INSTALAÇÃO DE PERGOLADO DE MADEIRA, EM MAÇARANDUBA, ANGELIM OU EQUIVALENTE DA REGIÃO, FIXADO COM CONCRETO SOBRE PISO DE CONCRETO EXISTENTE. AF_11/2021</v>
      </c>
      <c r="E275" s="199" t="str">
        <f>'ORÇAMENTO SEM DESON'!E51</f>
        <v>m²</v>
      </c>
      <c r="F275" s="202"/>
      <c r="G275" s="202"/>
      <c r="H275" s="202"/>
      <c r="I275" s="203"/>
      <c r="J275" s="202"/>
      <c r="K275" s="181"/>
    </row>
    <row r="276" spans="1:11" x14ac:dyDescent="0.2">
      <c r="A276" s="191"/>
      <c r="B276" s="191"/>
      <c r="C276" s="214"/>
      <c r="D276" s="204"/>
      <c r="E276" s="170"/>
      <c r="F276" s="173" t="s">
        <v>119</v>
      </c>
      <c r="G276" s="173" t="s">
        <v>122</v>
      </c>
      <c r="H276" s="173"/>
      <c r="I276" s="208"/>
      <c r="J276" s="205"/>
      <c r="K276" s="181"/>
    </row>
    <row r="277" spans="1:11" x14ac:dyDescent="0.2">
      <c r="A277" s="191"/>
      <c r="B277" s="191"/>
      <c r="C277" s="192"/>
      <c r="D277" s="204" t="s">
        <v>366</v>
      </c>
      <c r="E277" s="170"/>
      <c r="F277" s="173">
        <v>10</v>
      </c>
      <c r="G277" s="173">
        <v>4.1100000000000003</v>
      </c>
      <c r="H277" s="152"/>
      <c r="I277" s="207"/>
      <c r="J277" s="205">
        <f t="shared" ref="J277:J279" si="36">ROUND(PRODUCT(F277:I277),2)</f>
        <v>41.1</v>
      </c>
    </row>
    <row r="278" spans="1:11" x14ac:dyDescent="0.2">
      <c r="A278" s="191"/>
      <c r="B278" s="191"/>
      <c r="C278" s="192"/>
      <c r="D278" s="204" t="s">
        <v>318</v>
      </c>
      <c r="E278" s="170"/>
      <c r="F278" s="173">
        <v>5</v>
      </c>
      <c r="G278" s="173">
        <v>5</v>
      </c>
      <c r="H278" s="212"/>
      <c r="I278" s="207"/>
      <c r="J278" s="205">
        <f t="shared" si="36"/>
        <v>25</v>
      </c>
      <c r="K278" s="181"/>
    </row>
    <row r="279" spans="1:11" x14ac:dyDescent="0.2">
      <c r="A279" s="191"/>
      <c r="B279" s="191"/>
      <c r="C279" s="192"/>
      <c r="D279" s="204" t="s">
        <v>319</v>
      </c>
      <c r="E279" s="170"/>
      <c r="F279" s="173">
        <v>3.45</v>
      </c>
      <c r="G279" s="173">
        <v>4.5</v>
      </c>
      <c r="H279" s="212"/>
      <c r="I279" s="207"/>
      <c r="J279" s="205">
        <f t="shared" si="36"/>
        <v>15.53</v>
      </c>
      <c r="K279" s="181"/>
    </row>
    <row r="280" spans="1:11" x14ac:dyDescent="0.2">
      <c r="A280" s="191"/>
      <c r="B280" s="191"/>
      <c r="C280" s="214"/>
      <c r="D280" s="204"/>
      <c r="E280" s="170"/>
      <c r="F280" s="205"/>
      <c r="G280" s="205"/>
      <c r="H280" s="205"/>
      <c r="I280" s="203" t="str">
        <f>"Total item "&amp;A275</f>
        <v>Total item 9.3</v>
      </c>
      <c r="J280" s="202">
        <f>SUM(J277:J279)</f>
        <v>81.63</v>
      </c>
      <c r="K280" s="181"/>
    </row>
    <row r="281" spans="1:11" x14ac:dyDescent="0.2">
      <c r="A281" s="191"/>
      <c r="B281" s="191"/>
      <c r="C281" s="214"/>
      <c r="D281" s="204"/>
      <c r="E281" s="170"/>
      <c r="F281" s="205"/>
      <c r="G281" s="205"/>
      <c r="H281" s="205"/>
      <c r="I281" s="195"/>
      <c r="J281" s="194"/>
      <c r="K281" s="181"/>
    </row>
    <row r="282" spans="1:11" x14ac:dyDescent="0.2">
      <c r="A282" s="199" t="str">
        <f>'ORÇAMENTO SEM DESON'!A52</f>
        <v>9.4</v>
      </c>
      <c r="B282" s="215"/>
      <c r="C282" s="216"/>
      <c r="D282" s="217" t="str">
        <f>'ORÇAMENTO SEM DESON'!D52</f>
        <v>CHAPA POLICARBONATO ALVEOLAR CRISTAL ESP.= 6mm</v>
      </c>
      <c r="E282" s="199" t="str">
        <f>'ORÇAMENTO SEM DESON'!E52</f>
        <v>m²</v>
      </c>
      <c r="F282" s="202"/>
      <c r="G282" s="202"/>
      <c r="H282" s="202"/>
      <c r="I282" s="203"/>
      <c r="J282" s="202"/>
      <c r="K282" s="181"/>
    </row>
    <row r="283" spans="1:11" x14ac:dyDescent="0.2">
      <c r="A283" s="191"/>
      <c r="B283" s="191"/>
      <c r="C283" s="214"/>
      <c r="D283" s="204"/>
      <c r="E283" s="170"/>
      <c r="F283" s="173" t="s">
        <v>119</v>
      </c>
      <c r="G283" s="173" t="s">
        <v>122</v>
      </c>
      <c r="H283" s="173"/>
      <c r="I283" s="208"/>
      <c r="J283" s="205"/>
      <c r="K283" s="181"/>
    </row>
    <row r="284" spans="1:11" x14ac:dyDescent="0.2">
      <c r="A284" s="191"/>
      <c r="B284" s="191"/>
      <c r="C284" s="192"/>
      <c r="D284" s="204" t="s">
        <v>318</v>
      </c>
      <c r="E284" s="170"/>
      <c r="F284" s="173">
        <v>5</v>
      </c>
      <c r="G284" s="173">
        <v>5</v>
      </c>
      <c r="H284" s="212"/>
      <c r="I284" s="207"/>
      <c r="J284" s="205">
        <f t="shared" ref="J284:J285" si="37">ROUND(PRODUCT(F284:I284),2)</f>
        <v>25</v>
      </c>
      <c r="K284" s="181"/>
    </row>
    <row r="285" spans="1:11" x14ac:dyDescent="0.2">
      <c r="A285" s="191"/>
      <c r="B285" s="191"/>
      <c r="C285" s="192"/>
      <c r="D285" s="204" t="s">
        <v>319</v>
      </c>
      <c r="E285" s="170"/>
      <c r="F285" s="173">
        <v>3.45</v>
      </c>
      <c r="G285" s="173">
        <v>4.5</v>
      </c>
      <c r="H285" s="212"/>
      <c r="I285" s="207"/>
      <c r="J285" s="205">
        <f t="shared" si="37"/>
        <v>15.53</v>
      </c>
      <c r="K285" s="181"/>
    </row>
    <row r="286" spans="1:11" x14ac:dyDescent="0.2">
      <c r="A286" s="191"/>
      <c r="B286" s="191"/>
      <c r="C286" s="214"/>
      <c r="D286" s="204"/>
      <c r="E286" s="170"/>
      <c r="F286" s="205"/>
      <c r="G286" s="205"/>
      <c r="H286" s="205"/>
      <c r="I286" s="203" t="str">
        <f>"Total item "&amp;A282</f>
        <v>Total item 9.4</v>
      </c>
      <c r="J286" s="202">
        <f>SUM(J284:J285)</f>
        <v>40.53</v>
      </c>
      <c r="K286" s="181"/>
    </row>
    <row r="287" spans="1:11" x14ac:dyDescent="0.2">
      <c r="A287" s="191"/>
      <c r="B287" s="191"/>
      <c r="C287" s="214"/>
      <c r="D287" s="204"/>
      <c r="E287" s="170"/>
      <c r="F287" s="205"/>
      <c r="G287" s="205"/>
      <c r="H287" s="205"/>
      <c r="I287" s="195"/>
      <c r="J287" s="194"/>
      <c r="K287" s="181"/>
    </row>
    <row r="288" spans="1:11" ht="20.399999999999999" x14ac:dyDescent="0.2">
      <c r="A288" s="199" t="str">
        <f>'ORÇAMENTO SEM DESON'!A53</f>
        <v>9.5</v>
      </c>
      <c r="B288" s="215"/>
      <c r="C288" s="216"/>
      <c r="D288" s="217" t="str">
        <f>'ORÇAMENTO SEM DESON'!D53</f>
        <v>QUADRO ESCOLAR BRANCO, DIMENSÕES 250X120CM - FORNECIMENTO E INSTALAÇÃO</v>
      </c>
      <c r="E288" s="199" t="str">
        <f>'ORÇAMENTO SEM DESON'!E53</f>
        <v>un</v>
      </c>
      <c r="F288" s="202"/>
      <c r="G288" s="202"/>
      <c r="H288" s="202"/>
      <c r="I288" s="203"/>
      <c r="J288" s="202"/>
      <c r="K288" s="181"/>
    </row>
    <row r="289" spans="1:11" x14ac:dyDescent="0.2">
      <c r="A289" s="191"/>
      <c r="B289" s="191"/>
      <c r="C289" s="214"/>
      <c r="D289" s="204"/>
      <c r="E289" s="170"/>
      <c r="F289" s="173" t="s">
        <v>106</v>
      </c>
      <c r="G289" s="173"/>
      <c r="H289" s="173"/>
      <c r="I289" s="208"/>
      <c r="J289" s="205"/>
      <c r="K289" s="181"/>
    </row>
    <row r="290" spans="1:11" x14ac:dyDescent="0.2">
      <c r="A290" s="191"/>
      <c r="B290" s="191"/>
      <c r="C290" s="192"/>
      <c r="D290" s="204" t="s">
        <v>314</v>
      </c>
      <c r="E290" s="170"/>
      <c r="F290" s="173">
        <v>16</v>
      </c>
      <c r="G290" s="173"/>
      <c r="H290" s="152"/>
      <c r="I290" s="207"/>
      <c r="J290" s="205">
        <f t="shared" ref="J290" si="38">ROUND(PRODUCT(F290:I290),2)</f>
        <v>16</v>
      </c>
    </row>
    <row r="291" spans="1:11" x14ac:dyDescent="0.2">
      <c r="A291" s="191"/>
      <c r="B291" s="191"/>
      <c r="C291" s="214"/>
      <c r="D291" s="204"/>
      <c r="E291" s="170"/>
      <c r="F291" s="205"/>
      <c r="G291" s="205"/>
      <c r="H291" s="205"/>
      <c r="I291" s="203" t="str">
        <f>"Total item "&amp;A288</f>
        <v>Total item 9.5</v>
      </c>
      <c r="J291" s="202">
        <f>SUM(J290:J290)</f>
        <v>16</v>
      </c>
      <c r="K291" s="181"/>
    </row>
    <row r="292" spans="1:11" x14ac:dyDescent="0.2">
      <c r="A292" s="191"/>
      <c r="B292" s="191"/>
      <c r="C292" s="214"/>
      <c r="D292" s="204"/>
      <c r="E292" s="170"/>
      <c r="F292" s="205"/>
      <c r="G292" s="205"/>
      <c r="H292" s="205"/>
      <c r="I292" s="195"/>
      <c r="J292" s="194"/>
      <c r="K292" s="181"/>
    </row>
    <row r="293" spans="1:11" ht="61.2" x14ac:dyDescent="0.2">
      <c r="A293" s="199" t="str">
        <f>'ORÇAMENTO SEM DESON'!A54</f>
        <v>9.6</v>
      </c>
      <c r="B293" s="215"/>
      <c r="C293" s="216"/>
      <c r="D293" s="217" t="str">
        <f>'ORÇAMENTO SEM DESON'!D54</f>
        <v>ALAMBRADO PARA QUADRA POLIESPORTIVA, ESTRUTURADO POR TUBOS DE ACO GALVANIZADO, (MONTANTES COM DIAMETRO 2", TRAVESSAS E ESCORAS COM DIÂMETRO 1 ¼), COM TELA DE ARAME GALVANIZADO, FIO 12 BWG E MALHA QUADRADA 5X5CM (EXCETO MURETA). AF_03/2021</v>
      </c>
      <c r="E293" s="199" t="str">
        <f>'ORÇAMENTO SEM DESON'!E54</f>
        <v>m²</v>
      </c>
      <c r="F293" s="202"/>
      <c r="G293" s="202"/>
      <c r="H293" s="202"/>
      <c r="I293" s="203"/>
      <c r="J293" s="202"/>
      <c r="K293" s="181"/>
    </row>
    <row r="294" spans="1:11" x14ac:dyDescent="0.2">
      <c r="A294" s="191"/>
      <c r="B294" s="191"/>
      <c r="C294" s="214"/>
      <c r="D294" s="204"/>
      <c r="E294" s="170"/>
      <c r="F294" s="173" t="s">
        <v>119</v>
      </c>
      <c r="G294" s="173" t="s">
        <v>121</v>
      </c>
      <c r="H294" s="173"/>
      <c r="I294" s="208"/>
      <c r="J294" s="205"/>
      <c r="K294" s="181"/>
    </row>
    <row r="295" spans="1:11" x14ac:dyDescent="0.2">
      <c r="A295" s="191"/>
      <c r="B295" s="191"/>
      <c r="C295" s="192"/>
      <c r="D295" s="204" t="s">
        <v>349</v>
      </c>
      <c r="E295" s="170"/>
      <c r="F295" s="173">
        <f>6.25+6.25+20+20</f>
        <v>52.5</v>
      </c>
      <c r="G295" s="173">
        <v>2</v>
      </c>
      <c r="H295" s="152"/>
      <c r="I295" s="207"/>
      <c r="J295" s="205">
        <f t="shared" ref="J295" si="39">ROUND(PRODUCT(F295:I295),2)</f>
        <v>105</v>
      </c>
    </row>
    <row r="296" spans="1:11" x14ac:dyDescent="0.2">
      <c r="A296" s="191"/>
      <c r="B296" s="191"/>
      <c r="C296" s="214"/>
      <c r="D296" s="204"/>
      <c r="E296" s="170"/>
      <c r="F296" s="205"/>
      <c r="G296" s="205"/>
      <c r="H296" s="205"/>
      <c r="I296" s="203" t="str">
        <f>"Total item "&amp;A293</f>
        <v>Total item 9.6</v>
      </c>
      <c r="J296" s="202">
        <f>SUM(J295:J295)</f>
        <v>105</v>
      </c>
      <c r="K296" s="181"/>
    </row>
    <row r="297" spans="1:11" x14ac:dyDescent="0.2">
      <c r="A297" s="191"/>
      <c r="B297" s="191"/>
      <c r="C297" s="214"/>
      <c r="D297" s="204"/>
      <c r="E297" s="170"/>
      <c r="F297" s="205"/>
      <c r="G297" s="205"/>
      <c r="H297" s="205"/>
      <c r="I297" s="195"/>
      <c r="J297" s="194"/>
      <c r="K297" s="181"/>
    </row>
    <row r="298" spans="1:11" x14ac:dyDescent="0.2">
      <c r="A298" s="163" t="str">
        <f>'ORÇAMENTO SEM DESON'!A55</f>
        <v>10.0</v>
      </c>
      <c r="B298" s="164"/>
      <c r="C298" s="165"/>
      <c r="D298" s="196" t="s">
        <v>234</v>
      </c>
      <c r="E298" s="164"/>
      <c r="F298" s="197"/>
      <c r="G298" s="197"/>
      <c r="H298" s="197"/>
      <c r="I298" s="198"/>
      <c r="J298" s="197"/>
    </row>
    <row r="299" spans="1:11" x14ac:dyDescent="0.2">
      <c r="A299" s="191"/>
      <c r="B299" s="191"/>
      <c r="C299" s="192"/>
      <c r="D299" s="193"/>
      <c r="E299" s="191"/>
      <c r="F299" s="194"/>
      <c r="G299" s="194"/>
      <c r="H299" s="194"/>
      <c r="I299" s="195"/>
      <c r="J299" s="194"/>
    </row>
    <row r="300" spans="1:11" ht="30.6" x14ac:dyDescent="0.2">
      <c r="A300" s="199" t="str">
        <f>'ORÇAMENTO SEM DESON'!A56</f>
        <v>10.1</v>
      </c>
      <c r="B300" s="199"/>
      <c r="C300" s="200"/>
      <c r="D300" s="201" t="str">
        <f>'ORÇAMENTO SEM DESON'!D56</f>
        <v>EXECUÇÃO DE PAVIMENTO EM PISO INTERTRAVADO, COM BLOCO RETANGULAR DE 20X 10 CM, ESPESSURA 10 CM. AF_10/2022</v>
      </c>
      <c r="E300" s="199" t="str">
        <f>'ORÇAMENTO SEM DESON'!E56</f>
        <v>m²</v>
      </c>
      <c r="F300" s="202"/>
      <c r="G300" s="202"/>
      <c r="H300" s="202"/>
      <c r="I300" s="203"/>
      <c r="J300" s="202"/>
    </row>
    <row r="301" spans="1:11" x14ac:dyDescent="0.2">
      <c r="A301" s="191"/>
      <c r="B301" s="191"/>
      <c r="C301" s="192"/>
      <c r="D301" s="204"/>
      <c r="E301" s="170"/>
      <c r="F301" s="173" t="s">
        <v>119</v>
      </c>
      <c r="G301" s="173" t="s">
        <v>122</v>
      </c>
      <c r="H301" s="205"/>
      <c r="I301" s="173"/>
      <c r="J301" s="205"/>
    </row>
    <row r="302" spans="1:11" x14ac:dyDescent="0.2">
      <c r="A302" s="191"/>
      <c r="B302" s="191"/>
      <c r="C302" s="192"/>
      <c r="D302" s="204" t="s">
        <v>261</v>
      </c>
      <c r="E302" s="170"/>
      <c r="F302" s="173">
        <v>42.25</v>
      </c>
      <c r="G302" s="173">
        <v>1.4</v>
      </c>
      <c r="H302" s="205"/>
      <c r="I302" s="207"/>
      <c r="J302" s="205">
        <f t="shared" ref="J302:J305" si="40">ROUND(PRODUCT(F302:I302),2)</f>
        <v>59.15</v>
      </c>
    </row>
    <row r="303" spans="1:11" x14ac:dyDescent="0.2">
      <c r="A303" s="191"/>
      <c r="B303" s="191"/>
      <c r="C303" s="192"/>
      <c r="D303" s="204" t="s">
        <v>262</v>
      </c>
      <c r="E303" s="170"/>
      <c r="F303" s="173">
        <v>36.550000000000004</v>
      </c>
      <c r="G303" s="173">
        <v>1.6</v>
      </c>
      <c r="H303" s="205"/>
      <c r="I303" s="207"/>
      <c r="J303" s="205">
        <f t="shared" si="40"/>
        <v>58.48</v>
      </c>
    </row>
    <row r="304" spans="1:11" x14ac:dyDescent="0.2">
      <c r="A304" s="191"/>
      <c r="B304" s="191"/>
      <c r="C304" s="192"/>
      <c r="D304" s="204"/>
      <c r="E304" s="170"/>
      <c r="F304" s="173">
        <v>4.7300000000000004</v>
      </c>
      <c r="G304" s="173">
        <v>4.5999999999999996</v>
      </c>
      <c r="H304" s="205"/>
      <c r="I304" s="207"/>
      <c r="J304" s="205">
        <f t="shared" si="40"/>
        <v>21.76</v>
      </c>
    </row>
    <row r="305" spans="1:10" x14ac:dyDescent="0.2">
      <c r="A305" s="191"/>
      <c r="B305" s="191"/>
      <c r="C305" s="192"/>
      <c r="D305" s="204"/>
      <c r="E305" s="170"/>
      <c r="F305" s="173">
        <v>2.4</v>
      </c>
      <c r="G305" s="173">
        <v>4.5999999999999996</v>
      </c>
      <c r="H305" s="205"/>
      <c r="I305" s="207"/>
      <c r="J305" s="205">
        <f t="shared" si="40"/>
        <v>11.04</v>
      </c>
    </row>
    <row r="306" spans="1:10" x14ac:dyDescent="0.2">
      <c r="A306" s="191"/>
      <c r="B306" s="191"/>
      <c r="C306" s="192"/>
      <c r="D306" s="206"/>
      <c r="E306" s="170"/>
      <c r="F306" s="205"/>
      <c r="G306" s="205"/>
      <c r="H306" s="205"/>
      <c r="I306" s="203" t="str">
        <f>"Total item "&amp;A300</f>
        <v>Total item 10.1</v>
      </c>
      <c r="J306" s="202">
        <f>SUM(J302:J305)</f>
        <v>150.42999999999998</v>
      </c>
    </row>
    <row r="307" spans="1:10" x14ac:dyDescent="0.2">
      <c r="A307" s="191"/>
      <c r="B307" s="191"/>
      <c r="C307" s="192"/>
      <c r="D307" s="193"/>
      <c r="E307" s="191"/>
      <c r="F307" s="194"/>
      <c r="G307" s="194"/>
      <c r="H307" s="194"/>
      <c r="I307" s="195"/>
      <c r="J307" s="194"/>
    </row>
    <row r="308" spans="1:10" x14ac:dyDescent="0.2">
      <c r="A308" s="163" t="str">
        <f>'ORÇAMENTO SEM DESON'!A57</f>
        <v>11.0</v>
      </c>
      <c r="B308" s="164"/>
      <c r="C308" s="165"/>
      <c r="D308" s="196" t="str">
        <f>'ORÇAMENTO SEM DESON'!D57</f>
        <v>OUTROS SERVIÇOS</v>
      </c>
      <c r="E308" s="164"/>
      <c r="F308" s="197"/>
      <c r="G308" s="197"/>
      <c r="H308" s="197"/>
      <c r="I308" s="198"/>
      <c r="J308" s="197"/>
    </row>
    <row r="309" spans="1:10" x14ac:dyDescent="0.2">
      <c r="A309" s="191"/>
      <c r="B309" s="191"/>
      <c r="C309" s="192"/>
      <c r="D309" s="193"/>
      <c r="E309" s="191"/>
      <c r="F309" s="194"/>
      <c r="G309" s="194"/>
      <c r="H309" s="194"/>
      <c r="I309" s="195"/>
      <c r="J309" s="194"/>
    </row>
    <row r="310" spans="1:10" x14ac:dyDescent="0.2">
      <c r="A310" s="199" t="str">
        <f>'ORÇAMENTO SEM DESON'!A58</f>
        <v>11.1</v>
      </c>
      <c r="B310" s="199"/>
      <c r="C310" s="200"/>
      <c r="D310" s="201" t="str">
        <f>'ORÇAMENTO SEM DESON'!D58</f>
        <v>LETREIRO EM ACM- FORNECIMENTO E INSTALAÇÃO</v>
      </c>
      <c r="E310" s="199" t="str">
        <f>'ORÇAMENTO SEM DESON'!E58</f>
        <v>un</v>
      </c>
      <c r="F310" s="202"/>
      <c r="G310" s="202"/>
      <c r="H310" s="202"/>
      <c r="I310" s="203"/>
      <c r="J310" s="202"/>
    </row>
    <row r="311" spans="1:10" x14ac:dyDescent="0.2">
      <c r="A311" s="191"/>
      <c r="B311" s="191"/>
      <c r="C311" s="192"/>
      <c r="D311" s="204"/>
      <c r="E311" s="170"/>
      <c r="F311" s="173" t="s">
        <v>106</v>
      </c>
      <c r="G311" s="173"/>
      <c r="H311" s="205"/>
      <c r="I311" s="173"/>
      <c r="J311" s="205"/>
    </row>
    <row r="312" spans="1:10" x14ac:dyDescent="0.2">
      <c r="A312" s="191"/>
      <c r="B312" s="191"/>
      <c r="C312" s="192"/>
      <c r="D312" s="204"/>
      <c r="E312" s="170"/>
      <c r="F312" s="173">
        <v>1</v>
      </c>
      <c r="G312" s="173"/>
      <c r="H312" s="205"/>
      <c r="I312" s="207"/>
      <c r="J312" s="205">
        <f t="shared" ref="J312" si="41">ROUND(PRODUCT(F312:I312),2)</f>
        <v>1</v>
      </c>
    </row>
    <row r="313" spans="1:10" x14ac:dyDescent="0.2">
      <c r="A313" s="191"/>
      <c r="B313" s="191"/>
      <c r="C313" s="192"/>
      <c r="D313" s="206"/>
      <c r="E313" s="170"/>
      <c r="F313" s="205"/>
      <c r="G313" s="205"/>
      <c r="H313" s="205"/>
      <c r="I313" s="203" t="str">
        <f>"Total item "&amp;A310</f>
        <v>Total item 11.1</v>
      </c>
      <c r="J313" s="202">
        <f>SUM(J312:J312)</f>
        <v>1</v>
      </c>
    </row>
    <row r="314" spans="1:10" ht="20.399999999999999" x14ac:dyDescent="0.2">
      <c r="A314" s="199" t="str">
        <f>'ORÇAMENTO SEM DESON'!A59</f>
        <v>11.2</v>
      </c>
      <c r="B314" s="199"/>
      <c r="C314" s="200"/>
      <c r="D314" s="201" t="str">
        <f>'ORÇAMENTO SEM DESON'!D59</f>
        <v>PLANTIO DE GRAMA ESMERALDA OU SÃO CARLOS OU CURITIBANA, EM PLACAS. AF_ 05/2022</v>
      </c>
      <c r="E314" s="199" t="str">
        <f>'ORÇAMENTO SEM DESON'!E59</f>
        <v>m²</v>
      </c>
      <c r="F314" s="202"/>
      <c r="G314" s="202"/>
      <c r="H314" s="202"/>
      <c r="I314" s="203"/>
      <c r="J314" s="202"/>
    </row>
    <row r="315" spans="1:10" x14ac:dyDescent="0.2">
      <c r="A315" s="191"/>
      <c r="B315" s="191"/>
      <c r="C315" s="192"/>
      <c r="D315" s="204"/>
      <c r="E315" s="170"/>
      <c r="F315" s="173" t="s">
        <v>106</v>
      </c>
      <c r="G315" s="173"/>
      <c r="H315" s="205"/>
      <c r="I315" s="173"/>
      <c r="J315" s="205"/>
    </row>
    <row r="316" spans="1:10" x14ac:dyDescent="0.2">
      <c r="A316" s="191"/>
      <c r="B316" s="191"/>
      <c r="C316" s="192"/>
      <c r="D316" s="204"/>
      <c r="E316" s="170"/>
      <c r="F316" s="173">
        <v>100</v>
      </c>
      <c r="G316" s="173"/>
      <c r="H316" s="205"/>
      <c r="I316" s="207"/>
      <c r="J316" s="205">
        <f t="shared" ref="J316" si="42">ROUND(PRODUCT(F316:I316),2)</f>
        <v>100</v>
      </c>
    </row>
    <row r="317" spans="1:10" x14ac:dyDescent="0.2">
      <c r="A317" s="191"/>
      <c r="B317" s="191"/>
      <c r="C317" s="192"/>
      <c r="D317" s="206"/>
      <c r="E317" s="170"/>
      <c r="F317" s="205"/>
      <c r="G317" s="205"/>
      <c r="H317" s="205"/>
      <c r="I317" s="203" t="str">
        <f>"Total item "&amp;A314</f>
        <v>Total item 11.2</v>
      </c>
      <c r="J317" s="202">
        <f>SUM(J316:J316)</f>
        <v>100</v>
      </c>
    </row>
    <row r="318" spans="1:10" ht="20.399999999999999" x14ac:dyDescent="0.2">
      <c r="A318" s="199" t="str">
        <f>'ORÇAMENTO SEM DESON'!A60</f>
        <v>11.3</v>
      </c>
      <c r="B318" s="199"/>
      <c r="C318" s="200"/>
      <c r="D318" s="201" t="str">
        <f>'ORÇAMENTO SEM DESON'!D60</f>
        <v>PLANTIO DE ÁRVORE ORNAMENTAL COM ALTURA DE MUDA MENOR OU IGUAL A 2,00 M. AF_05/2018</v>
      </c>
      <c r="E318" s="199" t="str">
        <f>'ORÇAMENTO SEM DESON'!E60</f>
        <v>un</v>
      </c>
      <c r="F318" s="202"/>
      <c r="G318" s="202"/>
      <c r="H318" s="202"/>
      <c r="I318" s="203"/>
      <c r="J318" s="202"/>
    </row>
    <row r="319" spans="1:10" x14ac:dyDescent="0.2">
      <c r="A319" s="191"/>
      <c r="B319" s="191"/>
      <c r="C319" s="192"/>
      <c r="D319" s="204"/>
      <c r="E319" s="170"/>
      <c r="F319" s="173" t="s">
        <v>106</v>
      </c>
      <c r="G319" s="173"/>
      <c r="H319" s="205"/>
      <c r="I319" s="173"/>
      <c r="J319" s="205"/>
    </row>
    <row r="320" spans="1:10" x14ac:dyDescent="0.2">
      <c r="A320" s="191"/>
      <c r="B320" s="191"/>
      <c r="C320" s="192"/>
      <c r="D320" s="204"/>
      <c r="E320" s="170"/>
      <c r="F320" s="173">
        <v>4</v>
      </c>
      <c r="G320" s="173"/>
      <c r="H320" s="205"/>
      <c r="I320" s="207"/>
      <c r="J320" s="205">
        <f t="shared" ref="J320" si="43">ROUND(PRODUCT(F320:I320),2)</f>
        <v>4</v>
      </c>
    </row>
    <row r="321" spans="1:10" x14ac:dyDescent="0.2">
      <c r="A321" s="191"/>
      <c r="B321" s="191"/>
      <c r="C321" s="192"/>
      <c r="D321" s="206"/>
      <c r="E321" s="170"/>
      <c r="F321" s="205"/>
      <c r="G321" s="205"/>
      <c r="H321" s="205"/>
      <c r="I321" s="203" t="str">
        <f>"Total item "&amp;A318</f>
        <v>Total item 11.3</v>
      </c>
      <c r="J321" s="202">
        <f>SUM(J320:J320)</f>
        <v>4</v>
      </c>
    </row>
  </sheetData>
  <mergeCells count="5">
    <mergeCell ref="A3:J3"/>
    <mergeCell ref="A1:J1"/>
    <mergeCell ref="A4:J4"/>
    <mergeCell ref="A5:J5"/>
    <mergeCell ref="A6:J6"/>
  </mergeCells>
  <phoneticPr fontId="8" type="noConversion"/>
  <printOptions horizontalCentered="1"/>
  <pageMargins left="0.59055118110236227" right="0.39370078740157483" top="1.5354330708661419" bottom="1.3385826771653544" header="0.39370078740157483" footer="0.39370078740157483"/>
  <pageSetup paperSize="9" scale="80" fitToHeight="0" orientation="portrait" horizontalDpi="360" verticalDpi="360" r:id="rId1"/>
  <headerFooter>
    <oddHeader>&amp;C&amp;G</oddHeader>
    <oddFooter>&amp;C&amp;G</oddFooter>
  </headerFooter>
  <rowBreaks count="6" manualBreakCount="6">
    <brk id="62" max="9" man="1"/>
    <brk id="114" max="9" man="1"/>
    <brk id="159" max="9" man="1"/>
    <brk id="209" max="9" man="1"/>
    <brk id="261" max="9" man="1"/>
    <brk id="307" max="9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44B3F1-5C42-43A1-A572-ABF1F691075A}">
  <sheetPr>
    <tabColor rgb="FFFF0000"/>
  </sheetPr>
  <dimension ref="A1:K243"/>
  <sheetViews>
    <sheetView view="pageBreakPreview" topLeftCell="A4" zoomScale="111" zoomScaleNormal="100" zoomScaleSheetLayoutView="111" workbookViewId="0">
      <selection activeCell="C11" sqref="C11:F11"/>
    </sheetView>
  </sheetViews>
  <sheetFormatPr defaultRowHeight="10.199999999999999" x14ac:dyDescent="0.2"/>
  <cols>
    <col min="1" max="1" width="19.6640625" style="44" customWidth="1"/>
    <col min="2" max="2" width="20.6640625" style="44" customWidth="1"/>
    <col min="3" max="3" width="8.88671875" style="44"/>
    <col min="4" max="4" width="9" style="44" customWidth="1"/>
    <col min="5" max="5" width="9.5546875" style="44" customWidth="1"/>
    <col min="6" max="6" width="12.109375" style="44" customWidth="1"/>
    <col min="7" max="256" width="8.88671875" style="44"/>
    <col min="257" max="257" width="17.5546875" style="44" customWidth="1"/>
    <col min="258" max="258" width="47.5546875" style="44" customWidth="1"/>
    <col min="259" max="259" width="8.88671875" style="44"/>
    <col min="260" max="260" width="10.33203125" style="44" customWidth="1"/>
    <col min="261" max="261" width="11.6640625" style="44" customWidth="1"/>
    <col min="262" max="262" width="15.88671875" style="44" customWidth="1"/>
    <col min="263" max="512" width="8.88671875" style="44"/>
    <col min="513" max="513" width="17.5546875" style="44" customWidth="1"/>
    <col min="514" max="514" width="47.5546875" style="44" customWidth="1"/>
    <col min="515" max="515" width="8.88671875" style="44"/>
    <col min="516" max="516" width="10.33203125" style="44" customWidth="1"/>
    <col min="517" max="517" width="11.6640625" style="44" customWidth="1"/>
    <col min="518" max="518" width="15.88671875" style="44" customWidth="1"/>
    <col min="519" max="768" width="8.88671875" style="44"/>
    <col min="769" max="769" width="17.5546875" style="44" customWidth="1"/>
    <col min="770" max="770" width="47.5546875" style="44" customWidth="1"/>
    <col min="771" max="771" width="8.88671875" style="44"/>
    <col min="772" max="772" width="10.33203125" style="44" customWidth="1"/>
    <col min="773" max="773" width="11.6640625" style="44" customWidth="1"/>
    <col min="774" max="774" width="15.88671875" style="44" customWidth="1"/>
    <col min="775" max="1024" width="8.88671875" style="44"/>
    <col min="1025" max="1025" width="17.5546875" style="44" customWidth="1"/>
    <col min="1026" max="1026" width="47.5546875" style="44" customWidth="1"/>
    <col min="1027" max="1027" width="8.88671875" style="44"/>
    <col min="1028" max="1028" width="10.33203125" style="44" customWidth="1"/>
    <col min="1029" max="1029" width="11.6640625" style="44" customWidth="1"/>
    <col min="1030" max="1030" width="15.88671875" style="44" customWidth="1"/>
    <col min="1031" max="1280" width="8.88671875" style="44"/>
    <col min="1281" max="1281" width="17.5546875" style="44" customWidth="1"/>
    <col min="1282" max="1282" width="47.5546875" style="44" customWidth="1"/>
    <col min="1283" max="1283" width="8.88671875" style="44"/>
    <col min="1284" max="1284" width="10.33203125" style="44" customWidth="1"/>
    <col min="1285" max="1285" width="11.6640625" style="44" customWidth="1"/>
    <col min="1286" max="1286" width="15.88671875" style="44" customWidth="1"/>
    <col min="1287" max="1536" width="8.88671875" style="44"/>
    <col min="1537" max="1537" width="17.5546875" style="44" customWidth="1"/>
    <col min="1538" max="1538" width="47.5546875" style="44" customWidth="1"/>
    <col min="1539" max="1539" width="8.88671875" style="44"/>
    <col min="1540" max="1540" width="10.33203125" style="44" customWidth="1"/>
    <col min="1541" max="1541" width="11.6640625" style="44" customWidth="1"/>
    <col min="1542" max="1542" width="15.88671875" style="44" customWidth="1"/>
    <col min="1543" max="1792" width="8.88671875" style="44"/>
    <col min="1793" max="1793" width="17.5546875" style="44" customWidth="1"/>
    <col min="1794" max="1794" width="47.5546875" style="44" customWidth="1"/>
    <col min="1795" max="1795" width="8.88671875" style="44"/>
    <col min="1796" max="1796" width="10.33203125" style="44" customWidth="1"/>
    <col min="1797" max="1797" width="11.6640625" style="44" customWidth="1"/>
    <col min="1798" max="1798" width="15.88671875" style="44" customWidth="1"/>
    <col min="1799" max="2048" width="8.88671875" style="44"/>
    <col min="2049" max="2049" width="17.5546875" style="44" customWidth="1"/>
    <col min="2050" max="2050" width="47.5546875" style="44" customWidth="1"/>
    <col min="2051" max="2051" width="8.88671875" style="44"/>
    <col min="2052" max="2052" width="10.33203125" style="44" customWidth="1"/>
    <col min="2053" max="2053" width="11.6640625" style="44" customWidth="1"/>
    <col min="2054" max="2054" width="15.88671875" style="44" customWidth="1"/>
    <col min="2055" max="2304" width="8.88671875" style="44"/>
    <col min="2305" max="2305" width="17.5546875" style="44" customWidth="1"/>
    <col min="2306" max="2306" width="47.5546875" style="44" customWidth="1"/>
    <col min="2307" max="2307" width="8.88671875" style="44"/>
    <col min="2308" max="2308" width="10.33203125" style="44" customWidth="1"/>
    <col min="2309" max="2309" width="11.6640625" style="44" customWidth="1"/>
    <col min="2310" max="2310" width="15.88671875" style="44" customWidth="1"/>
    <col min="2311" max="2560" width="8.88671875" style="44"/>
    <col min="2561" max="2561" width="17.5546875" style="44" customWidth="1"/>
    <col min="2562" max="2562" width="47.5546875" style="44" customWidth="1"/>
    <col min="2563" max="2563" width="8.88671875" style="44"/>
    <col min="2564" max="2564" width="10.33203125" style="44" customWidth="1"/>
    <col min="2565" max="2565" width="11.6640625" style="44" customWidth="1"/>
    <col min="2566" max="2566" width="15.88671875" style="44" customWidth="1"/>
    <col min="2567" max="2816" width="8.88671875" style="44"/>
    <col min="2817" max="2817" width="17.5546875" style="44" customWidth="1"/>
    <col min="2818" max="2818" width="47.5546875" style="44" customWidth="1"/>
    <col min="2819" max="2819" width="8.88671875" style="44"/>
    <col min="2820" max="2820" width="10.33203125" style="44" customWidth="1"/>
    <col min="2821" max="2821" width="11.6640625" style="44" customWidth="1"/>
    <col min="2822" max="2822" width="15.88671875" style="44" customWidth="1"/>
    <col min="2823" max="3072" width="8.88671875" style="44"/>
    <col min="3073" max="3073" width="17.5546875" style="44" customWidth="1"/>
    <col min="3074" max="3074" width="47.5546875" style="44" customWidth="1"/>
    <col min="3075" max="3075" width="8.88671875" style="44"/>
    <col min="3076" max="3076" width="10.33203125" style="44" customWidth="1"/>
    <col min="3077" max="3077" width="11.6640625" style="44" customWidth="1"/>
    <col min="3078" max="3078" width="15.88671875" style="44" customWidth="1"/>
    <col min="3079" max="3328" width="8.88671875" style="44"/>
    <col min="3329" max="3329" width="17.5546875" style="44" customWidth="1"/>
    <col min="3330" max="3330" width="47.5546875" style="44" customWidth="1"/>
    <col min="3331" max="3331" width="8.88671875" style="44"/>
    <col min="3332" max="3332" width="10.33203125" style="44" customWidth="1"/>
    <col min="3333" max="3333" width="11.6640625" style="44" customWidth="1"/>
    <col min="3334" max="3334" width="15.88671875" style="44" customWidth="1"/>
    <col min="3335" max="3584" width="8.88671875" style="44"/>
    <col min="3585" max="3585" width="17.5546875" style="44" customWidth="1"/>
    <col min="3586" max="3586" width="47.5546875" style="44" customWidth="1"/>
    <col min="3587" max="3587" width="8.88671875" style="44"/>
    <col min="3588" max="3588" width="10.33203125" style="44" customWidth="1"/>
    <col min="3589" max="3589" width="11.6640625" style="44" customWidth="1"/>
    <col min="3590" max="3590" width="15.88671875" style="44" customWidth="1"/>
    <col min="3591" max="3840" width="8.88671875" style="44"/>
    <col min="3841" max="3841" width="17.5546875" style="44" customWidth="1"/>
    <col min="3842" max="3842" width="47.5546875" style="44" customWidth="1"/>
    <col min="3843" max="3843" width="8.88671875" style="44"/>
    <col min="3844" max="3844" width="10.33203125" style="44" customWidth="1"/>
    <col min="3845" max="3845" width="11.6640625" style="44" customWidth="1"/>
    <col min="3846" max="3846" width="15.88671875" style="44" customWidth="1"/>
    <col min="3847" max="4096" width="8.88671875" style="44"/>
    <col min="4097" max="4097" width="17.5546875" style="44" customWidth="1"/>
    <col min="4098" max="4098" width="47.5546875" style="44" customWidth="1"/>
    <col min="4099" max="4099" width="8.88671875" style="44"/>
    <col min="4100" max="4100" width="10.33203125" style="44" customWidth="1"/>
    <col min="4101" max="4101" width="11.6640625" style="44" customWidth="1"/>
    <col min="4102" max="4102" width="15.88671875" style="44" customWidth="1"/>
    <col min="4103" max="4352" width="8.88671875" style="44"/>
    <col min="4353" max="4353" width="17.5546875" style="44" customWidth="1"/>
    <col min="4354" max="4354" width="47.5546875" style="44" customWidth="1"/>
    <col min="4355" max="4355" width="8.88671875" style="44"/>
    <col min="4356" max="4356" width="10.33203125" style="44" customWidth="1"/>
    <col min="4357" max="4357" width="11.6640625" style="44" customWidth="1"/>
    <col min="4358" max="4358" width="15.88671875" style="44" customWidth="1"/>
    <col min="4359" max="4608" width="8.88671875" style="44"/>
    <col min="4609" max="4609" width="17.5546875" style="44" customWidth="1"/>
    <col min="4610" max="4610" width="47.5546875" style="44" customWidth="1"/>
    <col min="4611" max="4611" width="8.88671875" style="44"/>
    <col min="4612" max="4612" width="10.33203125" style="44" customWidth="1"/>
    <col min="4613" max="4613" width="11.6640625" style="44" customWidth="1"/>
    <col min="4614" max="4614" width="15.88671875" style="44" customWidth="1"/>
    <col min="4615" max="4864" width="8.88671875" style="44"/>
    <col min="4865" max="4865" width="17.5546875" style="44" customWidth="1"/>
    <col min="4866" max="4866" width="47.5546875" style="44" customWidth="1"/>
    <col min="4867" max="4867" width="8.88671875" style="44"/>
    <col min="4868" max="4868" width="10.33203125" style="44" customWidth="1"/>
    <col min="4869" max="4869" width="11.6640625" style="44" customWidth="1"/>
    <col min="4870" max="4870" width="15.88671875" style="44" customWidth="1"/>
    <col min="4871" max="5120" width="8.88671875" style="44"/>
    <col min="5121" max="5121" width="17.5546875" style="44" customWidth="1"/>
    <col min="5122" max="5122" width="47.5546875" style="44" customWidth="1"/>
    <col min="5123" max="5123" width="8.88671875" style="44"/>
    <col min="5124" max="5124" width="10.33203125" style="44" customWidth="1"/>
    <col min="5125" max="5125" width="11.6640625" style="44" customWidth="1"/>
    <col min="5126" max="5126" width="15.88671875" style="44" customWidth="1"/>
    <col min="5127" max="5376" width="8.88671875" style="44"/>
    <col min="5377" max="5377" width="17.5546875" style="44" customWidth="1"/>
    <col min="5378" max="5378" width="47.5546875" style="44" customWidth="1"/>
    <col min="5379" max="5379" width="8.88671875" style="44"/>
    <col min="5380" max="5380" width="10.33203125" style="44" customWidth="1"/>
    <col min="5381" max="5381" width="11.6640625" style="44" customWidth="1"/>
    <col min="5382" max="5382" width="15.88671875" style="44" customWidth="1"/>
    <col min="5383" max="5632" width="8.88671875" style="44"/>
    <col min="5633" max="5633" width="17.5546875" style="44" customWidth="1"/>
    <col min="5634" max="5634" width="47.5546875" style="44" customWidth="1"/>
    <col min="5635" max="5635" width="8.88671875" style="44"/>
    <col min="5636" max="5636" width="10.33203125" style="44" customWidth="1"/>
    <col min="5637" max="5637" width="11.6640625" style="44" customWidth="1"/>
    <col min="5638" max="5638" width="15.88671875" style="44" customWidth="1"/>
    <col min="5639" max="5888" width="8.88671875" style="44"/>
    <col min="5889" max="5889" width="17.5546875" style="44" customWidth="1"/>
    <col min="5890" max="5890" width="47.5546875" style="44" customWidth="1"/>
    <col min="5891" max="5891" width="8.88671875" style="44"/>
    <col min="5892" max="5892" width="10.33203125" style="44" customWidth="1"/>
    <col min="5893" max="5893" width="11.6640625" style="44" customWidth="1"/>
    <col min="5894" max="5894" width="15.88671875" style="44" customWidth="1"/>
    <col min="5895" max="6144" width="8.88671875" style="44"/>
    <col min="6145" max="6145" width="17.5546875" style="44" customWidth="1"/>
    <col min="6146" max="6146" width="47.5546875" style="44" customWidth="1"/>
    <col min="6147" max="6147" width="8.88671875" style="44"/>
    <col min="6148" max="6148" width="10.33203125" style="44" customWidth="1"/>
    <col min="6149" max="6149" width="11.6640625" style="44" customWidth="1"/>
    <col min="6150" max="6150" width="15.88671875" style="44" customWidth="1"/>
    <col min="6151" max="6400" width="8.88671875" style="44"/>
    <col min="6401" max="6401" width="17.5546875" style="44" customWidth="1"/>
    <col min="6402" max="6402" width="47.5546875" style="44" customWidth="1"/>
    <col min="6403" max="6403" width="8.88671875" style="44"/>
    <col min="6404" max="6404" width="10.33203125" style="44" customWidth="1"/>
    <col min="6405" max="6405" width="11.6640625" style="44" customWidth="1"/>
    <col min="6406" max="6406" width="15.88671875" style="44" customWidth="1"/>
    <col min="6407" max="6656" width="8.88671875" style="44"/>
    <col min="6657" max="6657" width="17.5546875" style="44" customWidth="1"/>
    <col min="6658" max="6658" width="47.5546875" style="44" customWidth="1"/>
    <col min="6659" max="6659" width="8.88671875" style="44"/>
    <col min="6660" max="6660" width="10.33203125" style="44" customWidth="1"/>
    <col min="6661" max="6661" width="11.6640625" style="44" customWidth="1"/>
    <col min="6662" max="6662" width="15.88671875" style="44" customWidth="1"/>
    <col min="6663" max="6912" width="8.88671875" style="44"/>
    <col min="6913" max="6913" width="17.5546875" style="44" customWidth="1"/>
    <col min="6914" max="6914" width="47.5546875" style="44" customWidth="1"/>
    <col min="6915" max="6915" width="8.88671875" style="44"/>
    <col min="6916" max="6916" width="10.33203125" style="44" customWidth="1"/>
    <col min="6917" max="6917" width="11.6640625" style="44" customWidth="1"/>
    <col min="6918" max="6918" width="15.88671875" style="44" customWidth="1"/>
    <col min="6919" max="7168" width="8.88671875" style="44"/>
    <col min="7169" max="7169" width="17.5546875" style="44" customWidth="1"/>
    <col min="7170" max="7170" width="47.5546875" style="44" customWidth="1"/>
    <col min="7171" max="7171" width="8.88671875" style="44"/>
    <col min="7172" max="7172" width="10.33203125" style="44" customWidth="1"/>
    <col min="7173" max="7173" width="11.6640625" style="44" customWidth="1"/>
    <col min="7174" max="7174" width="15.88671875" style="44" customWidth="1"/>
    <col min="7175" max="7424" width="8.88671875" style="44"/>
    <col min="7425" max="7425" width="17.5546875" style="44" customWidth="1"/>
    <col min="7426" max="7426" width="47.5546875" style="44" customWidth="1"/>
    <col min="7427" max="7427" width="8.88671875" style="44"/>
    <col min="7428" max="7428" width="10.33203125" style="44" customWidth="1"/>
    <col min="7429" max="7429" width="11.6640625" style="44" customWidth="1"/>
    <col min="7430" max="7430" width="15.88671875" style="44" customWidth="1"/>
    <col min="7431" max="7680" width="8.88671875" style="44"/>
    <col min="7681" max="7681" width="17.5546875" style="44" customWidth="1"/>
    <col min="7682" max="7682" width="47.5546875" style="44" customWidth="1"/>
    <col min="7683" max="7683" width="8.88671875" style="44"/>
    <col min="7684" max="7684" width="10.33203125" style="44" customWidth="1"/>
    <col min="7685" max="7685" width="11.6640625" style="44" customWidth="1"/>
    <col min="7686" max="7686" width="15.88671875" style="44" customWidth="1"/>
    <col min="7687" max="7936" width="8.88671875" style="44"/>
    <col min="7937" max="7937" width="17.5546875" style="44" customWidth="1"/>
    <col min="7938" max="7938" width="47.5546875" style="44" customWidth="1"/>
    <col min="7939" max="7939" width="8.88671875" style="44"/>
    <col min="7940" max="7940" width="10.33203125" style="44" customWidth="1"/>
    <col min="7941" max="7941" width="11.6640625" style="44" customWidth="1"/>
    <col min="7942" max="7942" width="15.88671875" style="44" customWidth="1"/>
    <col min="7943" max="8192" width="8.88671875" style="44"/>
    <col min="8193" max="8193" width="17.5546875" style="44" customWidth="1"/>
    <col min="8194" max="8194" width="47.5546875" style="44" customWidth="1"/>
    <col min="8195" max="8195" width="8.88671875" style="44"/>
    <col min="8196" max="8196" width="10.33203125" style="44" customWidth="1"/>
    <col min="8197" max="8197" width="11.6640625" style="44" customWidth="1"/>
    <col min="8198" max="8198" width="15.88671875" style="44" customWidth="1"/>
    <col min="8199" max="8448" width="8.88671875" style="44"/>
    <col min="8449" max="8449" width="17.5546875" style="44" customWidth="1"/>
    <col min="8450" max="8450" width="47.5546875" style="44" customWidth="1"/>
    <col min="8451" max="8451" width="8.88671875" style="44"/>
    <col min="8452" max="8452" width="10.33203125" style="44" customWidth="1"/>
    <col min="8453" max="8453" width="11.6640625" style="44" customWidth="1"/>
    <col min="8454" max="8454" width="15.88671875" style="44" customWidth="1"/>
    <col min="8455" max="8704" width="8.88671875" style="44"/>
    <col min="8705" max="8705" width="17.5546875" style="44" customWidth="1"/>
    <col min="8706" max="8706" width="47.5546875" style="44" customWidth="1"/>
    <col min="8707" max="8707" width="8.88671875" style="44"/>
    <col min="8708" max="8708" width="10.33203125" style="44" customWidth="1"/>
    <col min="8709" max="8709" width="11.6640625" style="44" customWidth="1"/>
    <col min="8710" max="8710" width="15.88671875" style="44" customWidth="1"/>
    <col min="8711" max="8960" width="8.88671875" style="44"/>
    <col min="8961" max="8961" width="17.5546875" style="44" customWidth="1"/>
    <col min="8962" max="8962" width="47.5546875" style="44" customWidth="1"/>
    <col min="8963" max="8963" width="8.88671875" style="44"/>
    <col min="8964" max="8964" width="10.33203125" style="44" customWidth="1"/>
    <col min="8965" max="8965" width="11.6640625" style="44" customWidth="1"/>
    <col min="8966" max="8966" width="15.88671875" style="44" customWidth="1"/>
    <col min="8967" max="9216" width="8.88671875" style="44"/>
    <col min="9217" max="9217" width="17.5546875" style="44" customWidth="1"/>
    <col min="9218" max="9218" width="47.5546875" style="44" customWidth="1"/>
    <col min="9219" max="9219" width="8.88671875" style="44"/>
    <col min="9220" max="9220" width="10.33203125" style="44" customWidth="1"/>
    <col min="9221" max="9221" width="11.6640625" style="44" customWidth="1"/>
    <col min="9222" max="9222" width="15.88671875" style="44" customWidth="1"/>
    <col min="9223" max="9472" width="8.88671875" style="44"/>
    <col min="9473" max="9473" width="17.5546875" style="44" customWidth="1"/>
    <col min="9474" max="9474" width="47.5546875" style="44" customWidth="1"/>
    <col min="9475" max="9475" width="8.88671875" style="44"/>
    <col min="9476" max="9476" width="10.33203125" style="44" customWidth="1"/>
    <col min="9477" max="9477" width="11.6640625" style="44" customWidth="1"/>
    <col min="9478" max="9478" width="15.88671875" style="44" customWidth="1"/>
    <col min="9479" max="9728" width="8.88671875" style="44"/>
    <col min="9729" max="9729" width="17.5546875" style="44" customWidth="1"/>
    <col min="9730" max="9730" width="47.5546875" style="44" customWidth="1"/>
    <col min="9731" max="9731" width="8.88671875" style="44"/>
    <col min="9732" max="9732" width="10.33203125" style="44" customWidth="1"/>
    <col min="9733" max="9733" width="11.6640625" style="44" customWidth="1"/>
    <col min="9734" max="9734" width="15.88671875" style="44" customWidth="1"/>
    <col min="9735" max="9984" width="8.88671875" style="44"/>
    <col min="9985" max="9985" width="17.5546875" style="44" customWidth="1"/>
    <col min="9986" max="9986" width="47.5546875" style="44" customWidth="1"/>
    <col min="9987" max="9987" width="8.88671875" style="44"/>
    <col min="9988" max="9988" width="10.33203125" style="44" customWidth="1"/>
    <col min="9989" max="9989" width="11.6640625" style="44" customWidth="1"/>
    <col min="9990" max="9990" width="15.88671875" style="44" customWidth="1"/>
    <col min="9991" max="10240" width="8.88671875" style="44"/>
    <col min="10241" max="10241" width="17.5546875" style="44" customWidth="1"/>
    <col min="10242" max="10242" width="47.5546875" style="44" customWidth="1"/>
    <col min="10243" max="10243" width="8.88671875" style="44"/>
    <col min="10244" max="10244" width="10.33203125" style="44" customWidth="1"/>
    <col min="10245" max="10245" width="11.6640625" style="44" customWidth="1"/>
    <col min="10246" max="10246" width="15.88671875" style="44" customWidth="1"/>
    <col min="10247" max="10496" width="8.88671875" style="44"/>
    <col min="10497" max="10497" width="17.5546875" style="44" customWidth="1"/>
    <col min="10498" max="10498" width="47.5546875" style="44" customWidth="1"/>
    <col min="10499" max="10499" width="8.88671875" style="44"/>
    <col min="10500" max="10500" width="10.33203125" style="44" customWidth="1"/>
    <col min="10501" max="10501" width="11.6640625" style="44" customWidth="1"/>
    <col min="10502" max="10502" width="15.88671875" style="44" customWidth="1"/>
    <col min="10503" max="10752" width="8.88671875" style="44"/>
    <col min="10753" max="10753" width="17.5546875" style="44" customWidth="1"/>
    <col min="10754" max="10754" width="47.5546875" style="44" customWidth="1"/>
    <col min="10755" max="10755" width="8.88671875" style="44"/>
    <col min="10756" max="10756" width="10.33203125" style="44" customWidth="1"/>
    <col min="10757" max="10757" width="11.6640625" style="44" customWidth="1"/>
    <col min="10758" max="10758" width="15.88671875" style="44" customWidth="1"/>
    <col min="10759" max="11008" width="8.88671875" style="44"/>
    <col min="11009" max="11009" width="17.5546875" style="44" customWidth="1"/>
    <col min="11010" max="11010" width="47.5546875" style="44" customWidth="1"/>
    <col min="11011" max="11011" width="8.88671875" style="44"/>
    <col min="11012" max="11012" width="10.33203125" style="44" customWidth="1"/>
    <col min="11013" max="11013" width="11.6640625" style="44" customWidth="1"/>
    <col min="11014" max="11014" width="15.88671875" style="44" customWidth="1"/>
    <col min="11015" max="11264" width="8.88671875" style="44"/>
    <col min="11265" max="11265" width="17.5546875" style="44" customWidth="1"/>
    <col min="11266" max="11266" width="47.5546875" style="44" customWidth="1"/>
    <col min="11267" max="11267" width="8.88671875" style="44"/>
    <col min="11268" max="11268" width="10.33203125" style="44" customWidth="1"/>
    <col min="11269" max="11269" width="11.6640625" style="44" customWidth="1"/>
    <col min="11270" max="11270" width="15.88671875" style="44" customWidth="1"/>
    <col min="11271" max="11520" width="8.88671875" style="44"/>
    <col min="11521" max="11521" width="17.5546875" style="44" customWidth="1"/>
    <col min="11522" max="11522" width="47.5546875" style="44" customWidth="1"/>
    <col min="11523" max="11523" width="8.88671875" style="44"/>
    <col min="11524" max="11524" width="10.33203125" style="44" customWidth="1"/>
    <col min="11525" max="11525" width="11.6640625" style="44" customWidth="1"/>
    <col min="11526" max="11526" width="15.88671875" style="44" customWidth="1"/>
    <col min="11527" max="11776" width="8.88671875" style="44"/>
    <col min="11777" max="11777" width="17.5546875" style="44" customWidth="1"/>
    <col min="11778" max="11778" width="47.5546875" style="44" customWidth="1"/>
    <col min="11779" max="11779" width="8.88671875" style="44"/>
    <col min="11780" max="11780" width="10.33203125" style="44" customWidth="1"/>
    <col min="11781" max="11781" width="11.6640625" style="44" customWidth="1"/>
    <col min="11782" max="11782" width="15.88671875" style="44" customWidth="1"/>
    <col min="11783" max="12032" width="8.88671875" style="44"/>
    <col min="12033" max="12033" width="17.5546875" style="44" customWidth="1"/>
    <col min="12034" max="12034" width="47.5546875" style="44" customWidth="1"/>
    <col min="12035" max="12035" width="8.88671875" style="44"/>
    <col min="12036" max="12036" width="10.33203125" style="44" customWidth="1"/>
    <col min="12037" max="12037" width="11.6640625" style="44" customWidth="1"/>
    <col min="12038" max="12038" width="15.88671875" style="44" customWidth="1"/>
    <col min="12039" max="12288" width="8.88671875" style="44"/>
    <col min="12289" max="12289" width="17.5546875" style="44" customWidth="1"/>
    <col min="12290" max="12290" width="47.5546875" style="44" customWidth="1"/>
    <col min="12291" max="12291" width="8.88671875" style="44"/>
    <col min="12292" max="12292" width="10.33203125" style="44" customWidth="1"/>
    <col min="12293" max="12293" width="11.6640625" style="44" customWidth="1"/>
    <col min="12294" max="12294" width="15.88671875" style="44" customWidth="1"/>
    <col min="12295" max="12544" width="8.88671875" style="44"/>
    <col min="12545" max="12545" width="17.5546875" style="44" customWidth="1"/>
    <col min="12546" max="12546" width="47.5546875" style="44" customWidth="1"/>
    <col min="12547" max="12547" width="8.88671875" style="44"/>
    <col min="12548" max="12548" width="10.33203125" style="44" customWidth="1"/>
    <col min="12549" max="12549" width="11.6640625" style="44" customWidth="1"/>
    <col min="12550" max="12550" width="15.88671875" style="44" customWidth="1"/>
    <col min="12551" max="12800" width="8.88671875" style="44"/>
    <col min="12801" max="12801" width="17.5546875" style="44" customWidth="1"/>
    <col min="12802" max="12802" width="47.5546875" style="44" customWidth="1"/>
    <col min="12803" max="12803" width="8.88671875" style="44"/>
    <col min="12804" max="12804" width="10.33203125" style="44" customWidth="1"/>
    <col min="12805" max="12805" width="11.6640625" style="44" customWidth="1"/>
    <col min="12806" max="12806" width="15.88671875" style="44" customWidth="1"/>
    <col min="12807" max="13056" width="8.88671875" style="44"/>
    <col min="13057" max="13057" width="17.5546875" style="44" customWidth="1"/>
    <col min="13058" max="13058" width="47.5546875" style="44" customWidth="1"/>
    <col min="13059" max="13059" width="8.88671875" style="44"/>
    <col min="13060" max="13060" width="10.33203125" style="44" customWidth="1"/>
    <col min="13061" max="13061" width="11.6640625" style="44" customWidth="1"/>
    <col min="13062" max="13062" width="15.88671875" style="44" customWidth="1"/>
    <col min="13063" max="13312" width="8.88671875" style="44"/>
    <col min="13313" max="13313" width="17.5546875" style="44" customWidth="1"/>
    <col min="13314" max="13314" width="47.5546875" style="44" customWidth="1"/>
    <col min="13315" max="13315" width="8.88671875" style="44"/>
    <col min="13316" max="13316" width="10.33203125" style="44" customWidth="1"/>
    <col min="13317" max="13317" width="11.6640625" style="44" customWidth="1"/>
    <col min="13318" max="13318" width="15.88671875" style="44" customWidth="1"/>
    <col min="13319" max="13568" width="8.88671875" style="44"/>
    <col min="13569" max="13569" width="17.5546875" style="44" customWidth="1"/>
    <col min="13570" max="13570" width="47.5546875" style="44" customWidth="1"/>
    <col min="13571" max="13571" width="8.88671875" style="44"/>
    <col min="13572" max="13572" width="10.33203125" style="44" customWidth="1"/>
    <col min="13573" max="13573" width="11.6640625" style="44" customWidth="1"/>
    <col min="13574" max="13574" width="15.88671875" style="44" customWidth="1"/>
    <col min="13575" max="13824" width="8.88671875" style="44"/>
    <col min="13825" max="13825" width="17.5546875" style="44" customWidth="1"/>
    <col min="13826" max="13826" width="47.5546875" style="44" customWidth="1"/>
    <col min="13827" max="13827" width="8.88671875" style="44"/>
    <col min="13828" max="13828" width="10.33203125" style="44" customWidth="1"/>
    <col min="13829" max="13829" width="11.6640625" style="44" customWidth="1"/>
    <col min="13830" max="13830" width="15.88671875" style="44" customWidth="1"/>
    <col min="13831" max="14080" width="8.88671875" style="44"/>
    <col min="14081" max="14081" width="17.5546875" style="44" customWidth="1"/>
    <col min="14082" max="14082" width="47.5546875" style="44" customWidth="1"/>
    <col min="14083" max="14083" width="8.88671875" style="44"/>
    <col min="14084" max="14084" width="10.33203125" style="44" customWidth="1"/>
    <col min="14085" max="14085" width="11.6640625" style="44" customWidth="1"/>
    <col min="14086" max="14086" width="15.88671875" style="44" customWidth="1"/>
    <col min="14087" max="14336" width="8.88671875" style="44"/>
    <col min="14337" max="14337" width="17.5546875" style="44" customWidth="1"/>
    <col min="14338" max="14338" width="47.5546875" style="44" customWidth="1"/>
    <col min="14339" max="14339" width="8.88671875" style="44"/>
    <col min="14340" max="14340" width="10.33203125" style="44" customWidth="1"/>
    <col min="14341" max="14341" width="11.6640625" style="44" customWidth="1"/>
    <col min="14342" max="14342" width="15.88671875" style="44" customWidth="1"/>
    <col min="14343" max="14592" width="8.88671875" style="44"/>
    <col min="14593" max="14593" width="17.5546875" style="44" customWidth="1"/>
    <col min="14594" max="14594" width="47.5546875" style="44" customWidth="1"/>
    <col min="14595" max="14595" width="8.88671875" style="44"/>
    <col min="14596" max="14596" width="10.33203125" style="44" customWidth="1"/>
    <col min="14597" max="14597" width="11.6640625" style="44" customWidth="1"/>
    <col min="14598" max="14598" width="15.88671875" style="44" customWidth="1"/>
    <col min="14599" max="14848" width="8.88671875" style="44"/>
    <col min="14849" max="14849" width="17.5546875" style="44" customWidth="1"/>
    <col min="14850" max="14850" width="47.5546875" style="44" customWidth="1"/>
    <col min="14851" max="14851" width="8.88671875" style="44"/>
    <col min="14852" max="14852" width="10.33203125" style="44" customWidth="1"/>
    <col min="14853" max="14853" width="11.6640625" style="44" customWidth="1"/>
    <col min="14854" max="14854" width="15.88671875" style="44" customWidth="1"/>
    <col min="14855" max="15104" width="8.88671875" style="44"/>
    <col min="15105" max="15105" width="17.5546875" style="44" customWidth="1"/>
    <col min="15106" max="15106" width="47.5546875" style="44" customWidth="1"/>
    <col min="15107" max="15107" width="8.88671875" style="44"/>
    <col min="15108" max="15108" width="10.33203125" style="44" customWidth="1"/>
    <col min="15109" max="15109" width="11.6640625" style="44" customWidth="1"/>
    <col min="15110" max="15110" width="15.88671875" style="44" customWidth="1"/>
    <col min="15111" max="15360" width="8.88671875" style="44"/>
    <col min="15361" max="15361" width="17.5546875" style="44" customWidth="1"/>
    <col min="15362" max="15362" width="47.5546875" style="44" customWidth="1"/>
    <col min="15363" max="15363" width="8.88671875" style="44"/>
    <col min="15364" max="15364" width="10.33203125" style="44" customWidth="1"/>
    <col min="15365" max="15365" width="11.6640625" style="44" customWidth="1"/>
    <col min="15366" max="15366" width="15.88671875" style="44" customWidth="1"/>
    <col min="15367" max="15616" width="8.88671875" style="44"/>
    <col min="15617" max="15617" width="17.5546875" style="44" customWidth="1"/>
    <col min="15618" max="15618" width="47.5546875" style="44" customWidth="1"/>
    <col min="15619" max="15619" width="8.88671875" style="44"/>
    <col min="15620" max="15620" width="10.33203125" style="44" customWidth="1"/>
    <col min="15621" max="15621" width="11.6640625" style="44" customWidth="1"/>
    <col min="15622" max="15622" width="15.88671875" style="44" customWidth="1"/>
    <col min="15623" max="15872" width="8.88671875" style="44"/>
    <col min="15873" max="15873" width="17.5546875" style="44" customWidth="1"/>
    <col min="15874" max="15874" width="47.5546875" style="44" customWidth="1"/>
    <col min="15875" max="15875" width="8.88671875" style="44"/>
    <col min="15876" max="15876" width="10.33203125" style="44" customWidth="1"/>
    <col min="15877" max="15877" width="11.6640625" style="44" customWidth="1"/>
    <col min="15878" max="15878" width="15.88671875" style="44" customWidth="1"/>
    <col min="15879" max="16128" width="8.88671875" style="44"/>
    <col min="16129" max="16129" width="17.5546875" style="44" customWidth="1"/>
    <col min="16130" max="16130" width="47.5546875" style="44" customWidth="1"/>
    <col min="16131" max="16131" width="8.88671875" style="44"/>
    <col min="16132" max="16132" width="10.33203125" style="44" customWidth="1"/>
    <col min="16133" max="16133" width="11.6640625" style="44" customWidth="1"/>
    <col min="16134" max="16134" width="15.88671875" style="44" customWidth="1"/>
    <col min="16135" max="16384" width="8.88671875" style="44"/>
  </cols>
  <sheetData>
    <row r="1" spans="1:6" ht="10.8" thickBot="1" x14ac:dyDescent="0.25"/>
    <row r="2" spans="1:6" ht="20.399999999999999" thickBot="1" x14ac:dyDescent="0.45">
      <c r="A2" s="334" t="s">
        <v>27</v>
      </c>
      <c r="B2" s="335"/>
      <c r="C2" s="335"/>
      <c r="D2" s="335"/>
      <c r="E2" s="335"/>
      <c r="F2" s="336"/>
    </row>
    <row r="3" spans="1:6" ht="15" thickBot="1" x14ac:dyDescent="0.35">
      <c r="A3" s="3"/>
      <c r="B3" s="3"/>
      <c r="C3" s="3"/>
      <c r="D3" s="3"/>
      <c r="E3" s="3"/>
      <c r="F3" s="3"/>
    </row>
    <row r="4" spans="1:6" ht="23.4" customHeight="1" x14ac:dyDescent="0.2">
      <c r="A4" s="289" t="s">
        <v>105</v>
      </c>
      <c r="B4" s="290" t="e">
        <v>#REF!</v>
      </c>
      <c r="C4" s="291"/>
      <c r="D4" s="291"/>
      <c r="E4" s="291"/>
      <c r="F4" s="292"/>
    </row>
    <row r="5" spans="1:6" ht="15" customHeight="1" x14ac:dyDescent="0.2">
      <c r="A5" s="293" t="s">
        <v>351</v>
      </c>
      <c r="B5" s="294"/>
      <c r="C5" s="294"/>
      <c r="D5" s="294"/>
      <c r="E5" s="294"/>
      <c r="F5" s="295"/>
    </row>
    <row r="6" spans="1:6" ht="15" customHeight="1" x14ac:dyDescent="0.2">
      <c r="A6" s="293" t="s">
        <v>288</v>
      </c>
      <c r="B6" s="294"/>
      <c r="C6" s="294"/>
      <c r="D6" s="294"/>
      <c r="E6" s="294"/>
      <c r="F6" s="295"/>
    </row>
    <row r="7" spans="1:6" ht="15.75" customHeight="1" thickBot="1" x14ac:dyDescent="0.25">
      <c r="A7" s="283"/>
      <c r="B7" s="284"/>
      <c r="C7" s="284"/>
      <c r="D7" s="284"/>
      <c r="E7" s="284"/>
      <c r="F7" s="285"/>
    </row>
    <row r="9" spans="1:6" s="4" customFormat="1" ht="15.6" x14ac:dyDescent="0.3">
      <c r="A9" s="337" t="s">
        <v>301</v>
      </c>
      <c r="B9" s="337"/>
      <c r="C9" s="337"/>
      <c r="D9" s="337"/>
      <c r="E9" s="337"/>
      <c r="F9" s="337"/>
    </row>
    <row r="10" spans="1:6" s="4" customFormat="1" x14ac:dyDescent="0.2">
      <c r="A10" s="338" t="s">
        <v>193</v>
      </c>
      <c r="B10" s="339"/>
      <c r="C10" s="344"/>
      <c r="D10" s="345"/>
      <c r="E10" s="345"/>
      <c r="F10" s="346"/>
    </row>
    <row r="11" spans="1:6" s="4" customFormat="1" ht="21.6" customHeight="1" x14ac:dyDescent="0.2">
      <c r="A11" s="340"/>
      <c r="B11" s="341"/>
      <c r="C11" s="347" t="str">
        <f>A9</f>
        <v>QUADRO ESCOLAR BRANCO, DIMENSÕES 250X120CM</v>
      </c>
      <c r="D11" s="347"/>
      <c r="E11" s="347"/>
      <c r="F11" s="347"/>
    </row>
    <row r="12" spans="1:6" s="4" customFormat="1" ht="11.25" customHeight="1" x14ac:dyDescent="0.2">
      <c r="A12" s="340"/>
      <c r="B12" s="341"/>
      <c r="C12" s="225" t="s">
        <v>87</v>
      </c>
      <c r="D12" s="348" t="s">
        <v>25</v>
      </c>
      <c r="E12" s="349"/>
      <c r="F12" s="352">
        <f>F19</f>
        <v>923.45333333333338</v>
      </c>
    </row>
    <row r="13" spans="1:6" s="4" customFormat="1" x14ac:dyDescent="0.2">
      <c r="A13" s="342"/>
      <c r="B13" s="343"/>
      <c r="C13" s="225">
        <v>1</v>
      </c>
      <c r="D13" s="350"/>
      <c r="E13" s="351"/>
      <c r="F13" s="353"/>
    </row>
    <row r="14" spans="1:6" s="4" customFormat="1" x14ac:dyDescent="0.2">
      <c r="A14" s="226"/>
      <c r="B14" s="226"/>
      <c r="C14" s="227"/>
      <c r="D14" s="333"/>
      <c r="E14" s="333"/>
      <c r="F14" s="228"/>
    </row>
    <row r="15" spans="1:6" s="4" customFormat="1" ht="21.75" customHeight="1" x14ac:dyDescent="0.2">
      <c r="A15" s="229" t="s">
        <v>194</v>
      </c>
      <c r="B15" s="229" t="s">
        <v>195</v>
      </c>
      <c r="C15" s="230" t="s">
        <v>24</v>
      </c>
      <c r="D15" s="231" t="s">
        <v>90</v>
      </c>
      <c r="E15" s="231" t="s">
        <v>91</v>
      </c>
      <c r="F15" s="231" t="s">
        <v>92</v>
      </c>
    </row>
    <row r="16" spans="1:6" s="4" customFormat="1" x14ac:dyDescent="0.2">
      <c r="A16" s="232" t="s">
        <v>300</v>
      </c>
      <c r="B16" s="233" t="s">
        <v>326</v>
      </c>
      <c r="C16" s="234" t="s">
        <v>87</v>
      </c>
      <c r="D16" s="235">
        <v>1</v>
      </c>
      <c r="E16" s="236">
        <v>899.99</v>
      </c>
      <c r="F16" s="228">
        <f>E16</f>
        <v>899.99</v>
      </c>
    </row>
    <row r="17" spans="1:7" s="4" customFormat="1" x14ac:dyDescent="0.2">
      <c r="A17" s="232" t="s">
        <v>302</v>
      </c>
      <c r="B17" s="233" t="s">
        <v>327</v>
      </c>
      <c r="C17" s="234" t="s">
        <v>87</v>
      </c>
      <c r="D17" s="235">
        <v>1</v>
      </c>
      <c r="E17" s="237">
        <v>870.47</v>
      </c>
      <c r="F17" s="228">
        <f>E17</f>
        <v>870.47</v>
      </c>
    </row>
    <row r="18" spans="1:7" s="4" customFormat="1" x14ac:dyDescent="0.2">
      <c r="A18" s="232" t="s">
        <v>303</v>
      </c>
      <c r="B18" s="232" t="s">
        <v>328</v>
      </c>
      <c r="C18" s="234" t="s">
        <v>87</v>
      </c>
      <c r="D18" s="235">
        <v>1</v>
      </c>
      <c r="E18" s="237">
        <v>999.9</v>
      </c>
      <c r="F18" s="228">
        <f>E18</f>
        <v>999.9</v>
      </c>
    </row>
    <row r="19" spans="1:7" s="4" customFormat="1" x14ac:dyDescent="0.2">
      <c r="A19" s="238"/>
      <c r="B19" s="238"/>
      <c r="C19" s="238"/>
      <c r="D19" s="238"/>
      <c r="E19" s="239" t="s">
        <v>17</v>
      </c>
      <c r="F19" s="240">
        <f>AVERAGE(F16:F18)</f>
        <v>923.45333333333338</v>
      </c>
      <c r="G19" s="4" t="s">
        <v>93</v>
      </c>
    </row>
    <row r="20" spans="1:7" ht="31.8" customHeight="1" x14ac:dyDescent="0.3">
      <c r="A20" s="354" t="s">
        <v>268</v>
      </c>
      <c r="B20" s="354"/>
      <c r="C20" s="354"/>
      <c r="D20" s="354"/>
      <c r="E20" s="354"/>
      <c r="F20" s="354"/>
    </row>
    <row r="21" spans="1:7" x14ac:dyDescent="0.2">
      <c r="A21" s="338" t="s">
        <v>196</v>
      </c>
      <c r="B21" s="339"/>
      <c r="C21" s="344"/>
      <c r="D21" s="345"/>
      <c r="E21" s="345"/>
      <c r="F21" s="346"/>
    </row>
    <row r="22" spans="1:7" ht="14.4" customHeight="1" x14ac:dyDescent="0.2">
      <c r="A22" s="340"/>
      <c r="B22" s="341"/>
      <c r="C22" s="347" t="str">
        <f>A20</f>
        <v>LETREIRO EM ACM - FORNECIMENTO E INSTALAÇÃO</v>
      </c>
      <c r="D22" s="347"/>
      <c r="E22" s="347"/>
      <c r="F22" s="347"/>
    </row>
    <row r="23" spans="1:7" x14ac:dyDescent="0.2">
      <c r="A23" s="340"/>
      <c r="B23" s="341"/>
      <c r="C23" s="225" t="s">
        <v>87</v>
      </c>
      <c r="D23" s="348" t="s">
        <v>25</v>
      </c>
      <c r="E23" s="349"/>
      <c r="F23" s="352">
        <f>F30</f>
        <v>6450</v>
      </c>
    </row>
    <row r="24" spans="1:7" x14ac:dyDescent="0.2">
      <c r="A24" s="342"/>
      <c r="B24" s="343"/>
      <c r="C24" s="225">
        <v>1</v>
      </c>
      <c r="D24" s="350"/>
      <c r="E24" s="351"/>
      <c r="F24" s="353"/>
    </row>
    <row r="25" spans="1:7" x14ac:dyDescent="0.2">
      <c r="A25" s="226"/>
      <c r="B25" s="226"/>
      <c r="C25" s="227"/>
      <c r="D25" s="333"/>
      <c r="E25" s="333"/>
      <c r="F25" s="228"/>
    </row>
    <row r="26" spans="1:7" ht="20.399999999999999" x14ac:dyDescent="0.2">
      <c r="A26" s="229" t="s">
        <v>194</v>
      </c>
      <c r="B26" s="229" t="s">
        <v>195</v>
      </c>
      <c r="C26" s="230" t="s">
        <v>24</v>
      </c>
      <c r="D26" s="231" t="s">
        <v>90</v>
      </c>
      <c r="E26" s="231" t="s">
        <v>91</v>
      </c>
      <c r="F26" s="231" t="s">
        <v>92</v>
      </c>
    </row>
    <row r="27" spans="1:7" x14ac:dyDescent="0.2">
      <c r="A27" s="232" t="s">
        <v>315</v>
      </c>
      <c r="B27" s="233" t="s">
        <v>316</v>
      </c>
      <c r="C27" s="234" t="s">
        <v>87</v>
      </c>
      <c r="D27" s="235">
        <v>1</v>
      </c>
      <c r="E27" s="236">
        <v>8200</v>
      </c>
      <c r="F27" s="228">
        <f>E27</f>
        <v>8200</v>
      </c>
    </row>
    <row r="28" spans="1:7" x14ac:dyDescent="0.2">
      <c r="A28" s="232" t="s">
        <v>369</v>
      </c>
      <c r="B28" s="233" t="s">
        <v>317</v>
      </c>
      <c r="C28" s="234" t="s">
        <v>87</v>
      </c>
      <c r="D28" s="235">
        <v>1</v>
      </c>
      <c r="E28" s="237">
        <v>2250</v>
      </c>
      <c r="F28" s="228">
        <f>E28</f>
        <v>2250</v>
      </c>
    </row>
    <row r="29" spans="1:7" x14ac:dyDescent="0.2">
      <c r="A29" s="232" t="s">
        <v>368</v>
      </c>
      <c r="B29" s="233" t="s">
        <v>367</v>
      </c>
      <c r="C29" s="234" t="s">
        <v>87</v>
      </c>
      <c r="D29" s="235">
        <v>1</v>
      </c>
      <c r="E29" s="237">
        <v>8900</v>
      </c>
      <c r="F29" s="228">
        <f>E29</f>
        <v>8900</v>
      </c>
    </row>
    <row r="30" spans="1:7" x14ac:dyDescent="0.2">
      <c r="A30" s="238"/>
      <c r="B30" s="238"/>
      <c r="C30" s="238"/>
      <c r="D30" s="238"/>
      <c r="E30" s="239" t="s">
        <v>17</v>
      </c>
      <c r="F30" s="240">
        <f>AVERAGE(F27:F29)</f>
        <v>6450</v>
      </c>
    </row>
    <row r="31" spans="1:7" ht="31.8" customHeight="1" x14ac:dyDescent="0.3">
      <c r="A31" s="354" t="s">
        <v>333</v>
      </c>
      <c r="B31" s="354"/>
      <c r="C31" s="354"/>
      <c r="D31" s="354"/>
      <c r="E31" s="354"/>
      <c r="F31" s="354"/>
    </row>
    <row r="32" spans="1:7" x14ac:dyDescent="0.2">
      <c r="A32" s="338" t="s">
        <v>323</v>
      </c>
      <c r="B32" s="339"/>
      <c r="C32" s="344"/>
      <c r="D32" s="345"/>
      <c r="E32" s="345"/>
      <c r="F32" s="346"/>
    </row>
    <row r="33" spans="1:6" x14ac:dyDescent="0.2">
      <c r="A33" s="340"/>
      <c r="B33" s="341"/>
      <c r="C33" s="347" t="str">
        <f>A31</f>
        <v>Verniz Marítimo Brilhante - Natural</v>
      </c>
      <c r="D33" s="347"/>
      <c r="E33" s="347"/>
      <c r="F33" s="347"/>
    </row>
    <row r="34" spans="1:6" x14ac:dyDescent="0.2">
      <c r="A34" s="340"/>
      <c r="B34" s="341"/>
      <c r="C34" s="225" t="s">
        <v>87</v>
      </c>
      <c r="D34" s="348" t="s">
        <v>25</v>
      </c>
      <c r="E34" s="349"/>
      <c r="F34" s="352">
        <f>F41</f>
        <v>40.75</v>
      </c>
    </row>
    <row r="35" spans="1:6" x14ac:dyDescent="0.2">
      <c r="A35" s="342"/>
      <c r="B35" s="343"/>
      <c r="C35" s="225">
        <v>1</v>
      </c>
      <c r="D35" s="350"/>
      <c r="E35" s="351"/>
      <c r="F35" s="353"/>
    </row>
    <row r="36" spans="1:6" x14ac:dyDescent="0.2">
      <c r="A36" s="226"/>
      <c r="B36" s="226"/>
      <c r="C36" s="227"/>
      <c r="D36" s="333"/>
      <c r="E36" s="333"/>
      <c r="F36" s="228"/>
    </row>
    <row r="37" spans="1:6" ht="20.399999999999999" x14ac:dyDescent="0.2">
      <c r="A37" s="229" t="s">
        <v>194</v>
      </c>
      <c r="B37" s="229" t="s">
        <v>195</v>
      </c>
      <c r="C37" s="230" t="s">
        <v>24</v>
      </c>
      <c r="D37" s="231" t="s">
        <v>90</v>
      </c>
      <c r="E37" s="231" t="s">
        <v>91</v>
      </c>
      <c r="F37" s="231" t="s">
        <v>92</v>
      </c>
    </row>
    <row r="38" spans="1:6" x14ac:dyDescent="0.2">
      <c r="A38" s="232" t="s">
        <v>324</v>
      </c>
      <c r="B38" s="233" t="s">
        <v>325</v>
      </c>
      <c r="C38" s="234" t="s">
        <v>60</v>
      </c>
      <c r="D38" s="235">
        <v>1</v>
      </c>
      <c r="E38" s="236">
        <f>123.9/3.6</f>
        <v>34.416666666666664</v>
      </c>
      <c r="F38" s="228">
        <f>E38</f>
        <v>34.416666666666664</v>
      </c>
    </row>
    <row r="39" spans="1:6" ht="20.399999999999999" x14ac:dyDescent="0.2">
      <c r="A39" s="232" t="s">
        <v>329</v>
      </c>
      <c r="B39" s="233" t="s">
        <v>330</v>
      </c>
      <c r="C39" s="234" t="s">
        <v>60</v>
      </c>
      <c r="D39" s="235">
        <v>1</v>
      </c>
      <c r="E39" s="237">
        <f>167.2/3.6</f>
        <v>46.444444444444443</v>
      </c>
      <c r="F39" s="228">
        <f>E39</f>
        <v>46.444444444444443</v>
      </c>
    </row>
    <row r="40" spans="1:6" x14ac:dyDescent="0.2">
      <c r="A40" s="232" t="s">
        <v>332</v>
      </c>
      <c r="B40" s="233" t="s">
        <v>331</v>
      </c>
      <c r="C40" s="234" t="s">
        <v>60</v>
      </c>
      <c r="D40" s="235">
        <v>1</v>
      </c>
      <c r="E40" s="237">
        <f>149/3.6</f>
        <v>41.388888888888886</v>
      </c>
      <c r="F40" s="228">
        <f>E40</f>
        <v>41.388888888888886</v>
      </c>
    </row>
    <row r="41" spans="1:6" x14ac:dyDescent="0.2">
      <c r="A41" s="238"/>
      <c r="B41" s="238"/>
      <c r="C41" s="238"/>
      <c r="D41" s="238"/>
      <c r="E41" s="239" t="s">
        <v>17</v>
      </c>
      <c r="F41" s="240">
        <f>AVERAGE(F38:F40)</f>
        <v>40.75</v>
      </c>
    </row>
    <row r="243" spans="11:11" x14ac:dyDescent="0.2">
      <c r="K243" s="54" t="e">
        <f>COTAÇÕES!#REF!</f>
        <v>#REF!</v>
      </c>
    </row>
  </sheetData>
  <autoFilter ref="A8:F19" xr:uid="{00000000-0009-0000-0000-000005000000}"/>
  <mergeCells count="26">
    <mergeCell ref="D36:E36"/>
    <mergeCell ref="A31:F31"/>
    <mergeCell ref="A32:B35"/>
    <mergeCell ref="C32:F32"/>
    <mergeCell ref="C33:F33"/>
    <mergeCell ref="D34:E35"/>
    <mergeCell ref="F34:F35"/>
    <mergeCell ref="D25:E25"/>
    <mergeCell ref="A20:F20"/>
    <mergeCell ref="A21:B24"/>
    <mergeCell ref="C21:F21"/>
    <mergeCell ref="C22:F22"/>
    <mergeCell ref="D23:E24"/>
    <mergeCell ref="F23:F24"/>
    <mergeCell ref="D14:E14"/>
    <mergeCell ref="A2:F2"/>
    <mergeCell ref="A4:F4"/>
    <mergeCell ref="A5:F5"/>
    <mergeCell ref="A6:F6"/>
    <mergeCell ref="A7:F7"/>
    <mergeCell ref="A9:F9"/>
    <mergeCell ref="A10:B13"/>
    <mergeCell ref="C10:F10"/>
    <mergeCell ref="C11:F11"/>
    <mergeCell ref="D12:E13"/>
    <mergeCell ref="F12:F13"/>
  </mergeCells>
  <printOptions horizontalCentered="1"/>
  <pageMargins left="0.51181102362204722" right="0.51181102362204722" top="1.1811023622047245" bottom="1.2598425196850394" header="0.31496062992125984" footer="0.31496062992125984"/>
  <pageSetup paperSize="9" orientation="portrait" horizontalDpi="360" verticalDpi="360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13</vt:i4>
      </vt:variant>
    </vt:vector>
  </HeadingPairs>
  <TitlesOfParts>
    <vt:vector size="20" baseType="lpstr">
      <vt:lpstr>RESUMO SEM DESON</vt:lpstr>
      <vt:lpstr>ORÇAMENTO SEM DESON</vt:lpstr>
      <vt:lpstr>COMPOSICOES SEM DESON</vt:lpstr>
      <vt:lpstr>CRONOGRAMA SEM DESON</vt:lpstr>
      <vt:lpstr>COMP_BDI_EDIFICACOES_20,84%_SEM</vt:lpstr>
      <vt:lpstr>MEMORIA DE CALCULO</vt:lpstr>
      <vt:lpstr>COTAÇÕES</vt:lpstr>
      <vt:lpstr>'COMP_BDI_EDIFICACOES_20,84%_SEM'!Area_de_impressao</vt:lpstr>
      <vt:lpstr>'COMPOSICOES SEM DESON'!Area_de_impressao</vt:lpstr>
      <vt:lpstr>COTAÇÕES!Area_de_impressao</vt:lpstr>
      <vt:lpstr>'CRONOGRAMA SEM DESON'!Area_de_impressao</vt:lpstr>
      <vt:lpstr>'MEMORIA DE CALCULO'!Area_de_impressao</vt:lpstr>
      <vt:lpstr>'ORÇAMENTO SEM DESON'!Area_de_impressao</vt:lpstr>
      <vt:lpstr>'RESUMO SEM DESON'!Area_de_impressao</vt:lpstr>
      <vt:lpstr>'COMPOSICOES SEM DESON'!Titulos_de_impressao</vt:lpstr>
      <vt:lpstr>COTAÇÕES!Titulos_de_impressao</vt:lpstr>
      <vt:lpstr>'CRONOGRAMA SEM DESON'!Titulos_de_impressao</vt:lpstr>
      <vt:lpstr>'MEMORIA DE CALCULO'!Titulos_de_impressao</vt:lpstr>
      <vt:lpstr>'ORÇAMENTO SEM DESON'!Titulos_de_impressao</vt:lpstr>
      <vt:lpstr>'RESUMO SEM DESON'!Titulos_de_impressao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2006-09-25T12:47:36Z</dcterms:created>
  <dcterms:modified xsi:type="dcterms:W3CDTF">2023-07-26T16:25:27Z</dcterms:modified>
</cp:coreProperties>
</file>